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31"/>
  <workbookPr defaultThemeVersion="124226"/>
  <mc:AlternateContent xmlns:mc="http://schemas.openxmlformats.org/markup-compatibility/2006">
    <mc:Choice Requires="x15">
      <x15ac:absPath xmlns:x15ac="http://schemas.microsoft.com/office/spreadsheetml/2010/11/ac" url="https://fonafegob-my.sharepoint.com/personal/klackd_distriluz_com_pe/Documents/UF/TDRs y Requerimientos/ELCTO/TDRs/07. TDR A4012/Versión 2 TDR 2023/"/>
    </mc:Choice>
  </mc:AlternateContent>
  <xr:revisionPtr revIDLastSave="4" documentId="11_8EFDC6064FCF8C61622A96E492C2D8070B0E20A4" xr6:coauthVersionLast="47" xr6:coauthVersionMax="47" xr10:uidLastSave="{78033538-6426-42A9-8811-1FC4BA11F4A5}"/>
  <bookViews>
    <workbookView xWindow="0" yWindow="0" windowWidth="19425" windowHeight="5595" tabRatio="850" firstSheet="2" activeTab="2" xr2:uid="{00000000-000D-0000-FFFF-FFFF00000000}"/>
  </bookViews>
  <sheets>
    <sheet name="Estructura 23" sheetId="28" state="hidden" r:id="rId1"/>
    <sheet name="RESUMEN" sheetId="71" r:id="rId2"/>
    <sheet name="COSTOS" sheetId="70" r:id="rId3"/>
    <sheet name="GG" sheetId="69" r:id="rId4"/>
  </sheets>
  <definedNames>
    <definedName name="_xlnm.Print_Area" localSheetId="2">COSTOS!$A$1:$G$93</definedName>
    <definedName name="_xlnm.Print_Area" localSheetId="0">'Estructura 23'!$A$1:$G$21</definedName>
    <definedName name="_xlnm.Print_Area" localSheetId="3">GG!$A$1:$G$45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2" i="70" l="1"/>
  <c r="G38" i="70"/>
  <c r="G39" i="70"/>
  <c r="G40" i="70"/>
  <c r="G18" i="70"/>
  <c r="G19" i="70"/>
  <c r="G20" i="70"/>
  <c r="F85" i="70" l="1"/>
  <c r="G58" i="70" l="1"/>
  <c r="G48" i="70"/>
  <c r="A43" i="70" l="1"/>
  <c r="A44" i="70" s="1"/>
  <c r="A45" i="70" s="1"/>
  <c r="A46" i="70" s="1"/>
  <c r="A47" i="70" s="1"/>
  <c r="G43" i="70"/>
  <c r="G44" i="70"/>
  <c r="G45" i="70"/>
  <c r="G46" i="70"/>
  <c r="I46" i="70"/>
  <c r="G47" i="70"/>
  <c r="F32" i="70"/>
  <c r="F33" i="70" s="1"/>
  <c r="F11" i="70"/>
  <c r="F13" i="70" s="1"/>
  <c r="F17" i="70" s="1"/>
  <c r="F12" i="70" l="1"/>
  <c r="F14" i="70" s="1"/>
  <c r="F34" i="70"/>
  <c r="F37" i="70" s="1"/>
  <c r="BA109" i="70" l="1"/>
  <c r="G34" i="70" l="1"/>
  <c r="G33" i="70"/>
  <c r="A32" i="70" l="1"/>
  <c r="G12" i="70"/>
  <c r="G14" i="70"/>
  <c r="B37" i="71"/>
  <c r="D28" i="71"/>
  <c r="D27" i="71"/>
  <c r="K22" i="71"/>
  <c r="E22" i="71" s="1"/>
  <c r="F13" i="71"/>
  <c r="E13" i="71"/>
  <c r="C12" i="71"/>
  <c r="E10" i="71"/>
  <c r="G9" i="71"/>
  <c r="G12" i="71" s="1"/>
  <c r="G18" i="71" s="1"/>
  <c r="C5" i="71"/>
  <c r="D3" i="71"/>
  <c r="D5" i="71" s="1"/>
  <c r="B2" i="71"/>
  <c r="G59" i="70"/>
  <c r="D7" i="69" s="1"/>
  <c r="Z40" i="70"/>
  <c r="G71" i="70" l="1"/>
  <c r="A33" i="70"/>
  <c r="A34" i="70" s="1"/>
  <c r="D3" i="69"/>
  <c r="B5" i="70"/>
  <c r="G11" i="70"/>
  <c r="G32" i="70"/>
  <c r="G17" i="70"/>
  <c r="E23" i="71"/>
  <c r="F22" i="71"/>
  <c r="G63" i="70"/>
  <c r="P19" i="69"/>
  <c r="P12" i="69"/>
  <c r="E39" i="69" l="1"/>
  <c r="E38" i="69"/>
  <c r="E37" i="69"/>
  <c r="E21" i="69"/>
  <c r="E22" i="69"/>
  <c r="E24" i="69" s="1"/>
  <c r="G24" i="69" s="1"/>
  <c r="G23" i="69" s="1"/>
  <c r="E19" i="69"/>
  <c r="E20" i="69"/>
  <c r="G13" i="70"/>
  <c r="G37" i="70"/>
  <c r="G75" i="70"/>
  <c r="D8" i="69"/>
  <c r="E27" i="71"/>
  <c r="F23" i="71"/>
  <c r="F24" i="71" s="1"/>
  <c r="F25" i="71" s="1"/>
  <c r="G50" i="70" l="1"/>
  <c r="G54" i="70" s="1"/>
  <c r="G23" i="70"/>
  <c r="F27" i="71"/>
  <c r="E28" i="71"/>
  <c r="F28" i="71" s="1"/>
  <c r="E31" i="71"/>
  <c r="A11" i="70"/>
  <c r="G27" i="70" l="1"/>
  <c r="T63" i="70"/>
  <c r="I63" i="70"/>
  <c r="A12" i="70"/>
  <c r="A13" i="70" s="1"/>
  <c r="A14" i="70" s="1"/>
  <c r="D5" i="69"/>
  <c r="D6" i="69"/>
  <c r="E32" i="71"/>
  <c r="F32" i="71" s="1"/>
  <c r="F31" i="71"/>
  <c r="F33" i="71" s="1"/>
  <c r="F29" i="71"/>
  <c r="B1" i="69"/>
  <c r="Z33" i="70"/>
  <c r="Z32" i="70"/>
  <c r="Z11" i="70"/>
  <c r="T67" i="70" l="1"/>
  <c r="T66" i="70"/>
  <c r="T65" i="70"/>
  <c r="T64" i="70"/>
  <c r="D9" i="69"/>
  <c r="G27" i="69"/>
  <c r="G22" i="69" l="1"/>
  <c r="G21" i="69"/>
  <c r="G20" i="69"/>
  <c r="O37" i="69"/>
  <c r="K37" i="69"/>
  <c r="G19" i="69" l="1"/>
  <c r="P37" i="69"/>
  <c r="G37" i="69" s="1"/>
  <c r="G38" i="69"/>
  <c r="G39" i="69"/>
  <c r="G18" i="69" l="1"/>
  <c r="G36" i="69"/>
  <c r="G40" i="69" s="1"/>
  <c r="D11" i="69" l="1"/>
  <c r="D12" i="69" l="1"/>
  <c r="E11" i="69"/>
  <c r="I25" i="70" s="1"/>
  <c r="G41" i="69"/>
  <c r="G25" i="70" l="1"/>
  <c r="F10" i="28"/>
  <c r="F9" i="28"/>
  <c r="F6" i="28"/>
  <c r="C24" i="28"/>
  <c r="G14" i="28" l="1"/>
  <c r="G13" i="28"/>
  <c r="G10" i="28"/>
  <c r="G9" i="28"/>
  <c r="G6" i="28"/>
  <c r="G16" i="28" l="1"/>
  <c r="G18" i="28" s="1"/>
  <c r="G19" i="28" s="1"/>
  <c r="G20" i="28" s="1"/>
  <c r="G26" i="69"/>
  <c r="G29" i="69" s="1"/>
  <c r="D10" i="69" l="1"/>
  <c r="E10" i="69" s="1"/>
  <c r="I26" i="70" s="1"/>
  <c r="G26" i="70" s="1"/>
  <c r="G24" i="70" s="1"/>
  <c r="G28" i="70" s="1"/>
  <c r="G79" i="70" s="1"/>
  <c r="I48" i="70"/>
  <c r="I57" i="70" s="1"/>
  <c r="G30" i="69"/>
  <c r="I49" i="70" l="1"/>
  <c r="I58" i="70" s="1"/>
  <c r="G62" i="70" s="1"/>
  <c r="F43" i="71"/>
  <c r="G61" i="70"/>
  <c r="G52" i="70"/>
  <c r="I69" i="70"/>
  <c r="D13" i="69"/>
  <c r="I70" i="70" l="1"/>
  <c r="G74" i="70" s="1"/>
  <c r="G53" i="70"/>
  <c r="G73" i="70"/>
  <c r="G51" i="70" l="1"/>
  <c r="G55" i="70" s="1"/>
  <c r="G80" i="70" s="1"/>
  <c r="F44" i="71" s="1"/>
  <c r="G72" i="70"/>
  <c r="G76" i="70" s="1"/>
  <c r="G81" i="70" s="1"/>
  <c r="F45" i="71" s="1"/>
  <c r="G60" i="70"/>
  <c r="G64" i="70" s="1"/>
  <c r="G83" i="70" l="1"/>
  <c r="F42" i="71"/>
  <c r="F46" i="71" s="1"/>
  <c r="F48" i="71" l="1"/>
  <c r="F47" i="71" s="1"/>
</calcChain>
</file>

<file path=xl/sharedStrings.xml><?xml version="1.0" encoding="utf-8"?>
<sst xmlns="http://schemas.openxmlformats.org/spreadsheetml/2006/main" count="255" uniqueCount="156">
  <si>
    <t>ESTRUCTURA DE COSTOS</t>
  </si>
  <si>
    <t>CIRA del proyecto: Recuperación de 5km de L.T. 66kV S.E. La Pampa - S.E. Pallasca</t>
  </si>
  <si>
    <t>Cantidad de Item</t>
  </si>
  <si>
    <t>SERVICIO GESTIÓN Y OBTENCIÓN CIRA</t>
  </si>
  <si>
    <t>Costo Unitario (S/)</t>
  </si>
  <si>
    <t>Cant (Personal/Equipo)</t>
  </si>
  <si>
    <t>Und</t>
  </si>
  <si>
    <t>Cant</t>
  </si>
  <si>
    <t>Costo Total (S/)</t>
  </si>
  <si>
    <t>A.1</t>
  </si>
  <si>
    <t>Personal Profesional (Incluye honorarios, viaticos, seguro médico y de vida)</t>
  </si>
  <si>
    <t>Coordinador Arqueólogo Colegiado, Especialista en la Optención del CIRA</t>
  </si>
  <si>
    <t>mes</t>
  </si>
  <si>
    <t>A.2</t>
  </si>
  <si>
    <t>Personal de Apoyo (Incluye honorarios, viaticos, seguro médico y de vida)</t>
  </si>
  <si>
    <t>Profecional especialista Adjunto - Ingeniero Electricista o Mecánico Electricista titulado</t>
  </si>
  <si>
    <t>Alquiler de (1) vehículo (Tracción doble), combustible, lubricante, mantenimiento (Incluye Chofer).</t>
  </si>
  <si>
    <t>A.3</t>
  </si>
  <si>
    <t>Expediente Técnico para su presentación y obtención del CIRA de parte del Ministerio de Cultura</t>
  </si>
  <si>
    <t>Presentación de Informe Técnico de Diagnóstico Arqueológico del Área del Proyecto</t>
  </si>
  <si>
    <t>Glb</t>
  </si>
  <si>
    <t>Presentación de Expediente Técnico del CIRA ante el Ministerio de Cultura</t>
  </si>
  <si>
    <t>Costo Directo (S/)</t>
  </si>
  <si>
    <t xml:space="preserve">Gastos Generales y Utilidades (S/) </t>
  </si>
  <si>
    <t>Costo Total sin IGV (S/)</t>
  </si>
  <si>
    <t>Costo Total con IGV (S/)</t>
  </si>
  <si>
    <t>Plazo de ejecucion del servicio</t>
  </si>
  <si>
    <t>d.c.</t>
  </si>
  <si>
    <t>ch</t>
  </si>
  <si>
    <t>cant x cent</t>
  </si>
  <si>
    <t>meses</t>
  </si>
  <si>
    <t>jul</t>
  </si>
  <si>
    <t>ago</t>
  </si>
  <si>
    <t>oct</t>
  </si>
  <si>
    <t>nov</t>
  </si>
  <si>
    <t>ene</t>
  </si>
  <si>
    <t>feb</t>
  </si>
  <si>
    <t>aceites y grasas</t>
  </si>
  <si>
    <t>solidos totales</t>
  </si>
  <si>
    <t>PROPUESTA ECONÓMICA</t>
  </si>
  <si>
    <t>RAZÓN SOCIAL: __________________________________________________________</t>
  </si>
  <si>
    <t>RUC: _____________________</t>
  </si>
  <si>
    <t>DESCRIPCIÓN</t>
  </si>
  <si>
    <t>COSTO
(S/)</t>
  </si>
  <si>
    <t>I</t>
  </si>
  <si>
    <t>SUMA ALZADA</t>
  </si>
  <si>
    <t>I.1</t>
  </si>
  <si>
    <t>ESTUDIO DE PREINVERSION</t>
  </si>
  <si>
    <t>I.2</t>
  </si>
  <si>
    <t>EXPEDIENTE TÉCNICO DE OBRA</t>
  </si>
  <si>
    <t>I.3</t>
  </si>
  <si>
    <t>ESTUDIOS COMPLEMENTARIOS</t>
  </si>
  <si>
    <t>COSTO TOTAL SIN IGV (S/)</t>
  </si>
  <si>
    <t>IGV (S/)</t>
  </si>
  <si>
    <t>COSTO TOTAL INCLUIDO IGV (S/)</t>
  </si>
  <si>
    <t>El precio de la oferta incluye todos los tributos, seguros, transporte, inspecciones, pruebas y, de ser el caso, los costos laborales conforme la legislación vigente, así como cualquier otro concepto que pueda tener incidencia sobre el costo del servicio a contratar; excepto la de aquellos postores que gocen de alguna exoneración legal, no incluirán en el precio de su oferta los tributos respectivos.</t>
  </si>
  <si>
    <t>Mediante la suscripción del presente documento declaro que cumplo con los términos de referencia y los requisitos de calificación descritos en el requerimiento y mediante el cual estoy presentando mi propuesta económica.</t>
  </si>
  <si>
    <t>FIRMA, NOMBRE Y SELLO</t>
  </si>
  <si>
    <t>REPRESENTANTE LEGAL</t>
  </si>
  <si>
    <t>VALOR REFERENCIAL</t>
  </si>
  <si>
    <t>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t>
  </si>
  <si>
    <t>Provincia: Huanta, Acobamba, Angaraes, Churcampa</t>
  </si>
  <si>
    <t>Departamento: Ayacucho y Huancavelica</t>
  </si>
  <si>
    <t>I.-  PARTE SUMA ALZADA</t>
  </si>
  <si>
    <t>A</t>
  </si>
  <si>
    <t>ESTUDIO DE PRE INVERSIÓN</t>
  </si>
  <si>
    <t>Costo Unitario S/</t>
  </si>
  <si>
    <t>COSTO TOTAL ÍTEM PAQUETE 01 (S/)</t>
  </si>
  <si>
    <t>Personal Clave (Incluye honorarios, viaticos, seguro médico y de vida)</t>
  </si>
  <si>
    <t>Jefe de Estudio</t>
  </si>
  <si>
    <t>EP</t>
  </si>
  <si>
    <t>Especialista en diseño de redes de distribución</t>
  </si>
  <si>
    <t xml:space="preserve">Coordinador BIM </t>
  </si>
  <si>
    <t>Especialista de Pre Inversión</t>
  </si>
  <si>
    <t>Personal de Apoyo</t>
  </si>
  <si>
    <t>Especialista en modelado BIM</t>
  </si>
  <si>
    <t>Especialista DIA</t>
  </si>
  <si>
    <t>Especialsita CIRA</t>
  </si>
  <si>
    <t>Especialista Servidumbre</t>
  </si>
  <si>
    <t>Gastos Generales (S/)</t>
  </si>
  <si>
    <t xml:space="preserve">    - Gastos Fijos (S/)</t>
  </si>
  <si>
    <t xml:space="preserve">    - Gastos Variables (S/)</t>
  </si>
  <si>
    <t xml:space="preserve">Utilidades (S/) </t>
  </si>
  <si>
    <t>B</t>
  </si>
  <si>
    <t>Expediente Técnico de Obra, incluye Est. Riesgos, Est. Coordinación de Protecciones, Expediente de concesión</t>
  </si>
  <si>
    <t>ETO</t>
  </si>
  <si>
    <t>Estudios Complementarios</t>
  </si>
  <si>
    <t>Estudio de Suelos, Geología y Geotécnica</t>
  </si>
  <si>
    <t>Estudio de Riesgos</t>
  </si>
  <si>
    <t>Estudio de Resistividad</t>
  </si>
  <si>
    <t>Servicio de levantamiento Topográfico mediante Fotogrametría (ortofotos y grabación de videos que permitan el modelado en 3D), con el uso de Aeronave Pilotada a Distancia - RPA, incluye Piloto de RPAS y Equipos necesarios para el servicio, para modelar infraestructura existente.</t>
  </si>
  <si>
    <t xml:space="preserve">24 km </t>
  </si>
  <si>
    <t>Estudio de Coordinación de Protección</t>
  </si>
  <si>
    <t>Impresiones de Volumenes Finales</t>
  </si>
  <si>
    <t>C</t>
  </si>
  <si>
    <t>INFORME DE CONSISTENCIA</t>
  </si>
  <si>
    <t>Formulación del Informe de Consistencia</t>
  </si>
  <si>
    <t>Total</t>
  </si>
  <si>
    <t>EPI</t>
  </si>
  <si>
    <t>IGA</t>
  </si>
  <si>
    <t>CIRA</t>
  </si>
  <si>
    <t>COSTO DEL ESTUDIO DE PRE INVERSION (S/) in IGV</t>
  </si>
  <si>
    <t>COSTO DELEXPEDIENTE TÉCNICO DE OBRA (S/) in IGV</t>
  </si>
  <si>
    <t>COSTO DE LOS ESTUDIOS COMPLEMENTARIOS  (S/.) in IGV</t>
  </si>
  <si>
    <t>COSTO TOTAL (S/) sin IGV</t>
  </si>
  <si>
    <t>COSTO TOTAL (S/) con IGV</t>
  </si>
  <si>
    <t>Plazo de Ejecucion</t>
  </si>
  <si>
    <t>Estudio de Pre Inversión</t>
  </si>
  <si>
    <t>Expediente Técnico de Obra</t>
  </si>
  <si>
    <t>Informe de Consistencia</t>
  </si>
  <si>
    <t>El costo incluye, todos los costos tributos mpuestos, tasas, etc necesarios para cumplir el objetivo del servicio</t>
  </si>
  <si>
    <t>Plazo (dias)</t>
  </si>
  <si>
    <t>COSTO DIRECTO</t>
  </si>
  <si>
    <t>Elaboración de Estudio de Pre Inversión</t>
  </si>
  <si>
    <t>Elaboración de Expediente Técnico de Obra</t>
  </si>
  <si>
    <t>Informe de consistencia</t>
  </si>
  <si>
    <t>TOTAL COSTO DIRECTO</t>
  </si>
  <si>
    <t>Gastos Generales Variables Directos</t>
  </si>
  <si>
    <t>2do</t>
  </si>
  <si>
    <t>Gastos Generales Fijos Indirectos</t>
  </si>
  <si>
    <t>Utilidades (5%)</t>
  </si>
  <si>
    <t>UF</t>
  </si>
  <si>
    <t>Costo Total (CT) SIN IGV</t>
  </si>
  <si>
    <t>3er</t>
  </si>
  <si>
    <t>item</t>
  </si>
  <si>
    <t>Descripciòn</t>
  </si>
  <si>
    <t>unidad</t>
  </si>
  <si>
    <t>pu estimado</t>
  </si>
  <si>
    <t>Total S/.</t>
  </si>
  <si>
    <t>.</t>
  </si>
  <si>
    <t>4to</t>
  </si>
  <si>
    <t>Oficina empresa Consultora</t>
  </si>
  <si>
    <t>5to</t>
  </si>
  <si>
    <t>Alquiler de Computadoras</t>
  </si>
  <si>
    <t>Escritorio y Utiles de Escritorio</t>
  </si>
  <si>
    <t xml:space="preserve">Alquiler Oficina </t>
  </si>
  <si>
    <t>Entegables</t>
  </si>
  <si>
    <t>Comunicaciones (Internet, Red Privada movil, Servidor)</t>
  </si>
  <si>
    <t>Consistencia</t>
  </si>
  <si>
    <t>Recursos</t>
  </si>
  <si>
    <t>Seguridad</t>
  </si>
  <si>
    <t>EPPs trabajos en campo.</t>
  </si>
  <si>
    <t>Total Gastos Generales Variables Directos</t>
  </si>
  <si>
    <t>Gastos Generales Indirectos</t>
  </si>
  <si>
    <t xml:space="preserve">Gastos Financieros </t>
  </si>
  <si>
    <t>Tasa mensual</t>
  </si>
  <si>
    <t>Valor referencial</t>
  </si>
  <si>
    <t>Tope carta fianza</t>
  </si>
  <si>
    <t>monto a afianzar</t>
  </si>
  <si>
    <t>Costo mensual</t>
  </si>
  <si>
    <t>Carta Fianza Fiel cumplimiento</t>
  </si>
  <si>
    <t xml:space="preserve">mes </t>
  </si>
  <si>
    <t>Póliza SCTR Pension y Salud y Accidentes personales</t>
  </si>
  <si>
    <t>Póliza de Seguro Vida Ley</t>
  </si>
  <si>
    <t>Polizas</t>
  </si>
  <si>
    <t>Total General - GG Indirectos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</si>
</sst>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 #,##0.00_ ;_ * \-#,##0.00_ ;_ * &quot;-&quot;??_ ;_ @_ "/>
    <numFmt numFmtId="165" formatCode="#,##0.000"/>
    <numFmt numFmtId="166" formatCode="_ * #,##0.0_ ;_ * \-#,##0.0_ ;_ * &quot;-&quot;?_ ;_ @_ "/>
  </numFmts>
  <fonts count="37">
    <font>
      <sz val="11"/>
      <color theme="1"/>
      <name val="Calibri"/>
      <family val="2"/>
      <scheme val="minor"/>
    </font>
    <font>
      <sz val="11"/>
      <color theme="1"/>
      <name val="Calibri"/>
      <family val="2"/>
      <scheme val="minor"/>
    </font>
    <font>
      <b/>
      <sz val="11"/>
      <color theme="1"/>
      <name val="Calibri"/>
      <family val="2"/>
      <scheme val="minor"/>
    </font>
    <font>
      <sz val="14"/>
      <name val="Calibri"/>
      <family val="2"/>
      <scheme val="minor"/>
    </font>
    <font>
      <sz val="12"/>
      <color theme="1"/>
      <name val="Arial"/>
      <family val="2"/>
    </font>
    <font>
      <b/>
      <i/>
      <sz val="10"/>
      <color rgb="FF0000FF"/>
      <name val="Arial"/>
      <family val="2"/>
    </font>
    <font>
      <b/>
      <sz val="14"/>
      <color theme="1"/>
      <name val="Calibri"/>
      <family val="2"/>
      <scheme val="minor"/>
    </font>
    <font>
      <sz val="11"/>
      <name val="Calibri"/>
      <family val="2"/>
      <scheme val="minor"/>
    </font>
    <font>
      <sz val="10"/>
      <name val="Arial"/>
      <family val="2"/>
    </font>
    <font>
      <b/>
      <sz val="12"/>
      <name val="Arial"/>
      <family val="2"/>
    </font>
    <font>
      <b/>
      <sz val="10"/>
      <name val="Arial"/>
      <family val="2"/>
    </font>
    <font>
      <b/>
      <sz val="10"/>
      <color rgb="FFFF0000"/>
      <name val="Arial"/>
      <family val="2"/>
    </font>
    <font>
      <sz val="10"/>
      <name val="Tahoma"/>
      <family val="2"/>
    </font>
    <font>
      <b/>
      <sz val="11"/>
      <color indexed="8"/>
      <name val="Calibri"/>
      <family val="2"/>
    </font>
    <font>
      <b/>
      <sz val="11"/>
      <color theme="0"/>
      <name val="Calibri"/>
      <family val="2"/>
      <scheme val="minor"/>
    </font>
    <font>
      <sz val="10"/>
      <name val="Calibri"/>
      <family val="2"/>
      <scheme val="minor"/>
    </font>
    <font>
      <sz val="11"/>
      <color rgb="FF000000"/>
      <name val="Tahoma"/>
      <family val="2"/>
    </font>
    <font>
      <sz val="10"/>
      <color rgb="FF000000"/>
      <name val="Calibri"/>
      <family val="2"/>
      <scheme val="minor"/>
    </font>
    <font>
      <b/>
      <u/>
      <sz val="14"/>
      <color rgb="FF000000"/>
      <name val="Calibri"/>
      <family val="2"/>
      <scheme val="minor"/>
    </font>
    <font>
      <sz val="11"/>
      <color rgb="FF000000"/>
      <name val="Calibri"/>
      <family val="2"/>
      <scheme val="minor"/>
    </font>
    <font>
      <b/>
      <sz val="12"/>
      <color indexed="8"/>
      <name val="Calibri"/>
      <family val="2"/>
      <scheme val="minor"/>
    </font>
    <font>
      <b/>
      <u/>
      <sz val="12"/>
      <color indexed="8"/>
      <name val="Calibri"/>
      <family val="2"/>
      <scheme val="minor"/>
    </font>
    <font>
      <sz val="12"/>
      <color rgb="FF000000"/>
      <name val="Calibri"/>
      <family val="2"/>
      <scheme val="minor"/>
    </font>
    <font>
      <b/>
      <sz val="10"/>
      <color rgb="FF000000"/>
      <name val="Calibri"/>
      <family val="2"/>
      <scheme val="minor"/>
    </font>
    <font>
      <b/>
      <sz val="10"/>
      <color theme="1"/>
      <name val="Calibri"/>
      <family val="2"/>
      <scheme val="minor"/>
    </font>
    <font>
      <b/>
      <sz val="10"/>
      <color theme="0"/>
      <name val="Calibri"/>
      <family val="2"/>
      <scheme val="minor"/>
    </font>
    <font>
      <b/>
      <sz val="10"/>
      <name val="Calibri"/>
      <family val="2"/>
      <scheme val="minor"/>
    </font>
    <font>
      <sz val="12"/>
      <name val="Calibri"/>
      <family val="2"/>
      <scheme val="minor"/>
    </font>
    <font>
      <b/>
      <sz val="12"/>
      <color theme="0"/>
      <name val="Calibri"/>
      <family val="2"/>
      <scheme val="minor"/>
    </font>
    <font>
      <sz val="8"/>
      <name val="Calibri"/>
      <family val="2"/>
      <scheme val="minor"/>
    </font>
    <font>
      <b/>
      <sz val="11"/>
      <color theme="1"/>
      <name val="Arial"/>
      <family val="2"/>
    </font>
    <font>
      <sz val="11"/>
      <color theme="1"/>
      <name val="Arial"/>
      <family val="2"/>
    </font>
    <font>
      <b/>
      <sz val="14"/>
      <color theme="1"/>
      <name val="Arial"/>
      <family val="2"/>
    </font>
    <font>
      <b/>
      <sz val="16"/>
      <color theme="1"/>
      <name val="Arial"/>
      <family val="2"/>
    </font>
    <font>
      <sz val="11"/>
      <color rgb="FF0000FF"/>
      <name val="Arial"/>
      <family val="2"/>
    </font>
    <font>
      <sz val="11"/>
      <name val="Arial"/>
      <family val="2"/>
    </font>
    <font>
      <sz val="11"/>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indexed="13"/>
        <bgColor indexed="64"/>
      </patternFill>
    </fill>
    <fill>
      <patternFill patternType="solid">
        <fgColor indexed="42"/>
        <bgColor indexed="64"/>
      </patternFill>
    </fill>
    <fill>
      <patternFill patternType="solid">
        <fgColor rgb="FFFFC000"/>
        <bgColor indexed="64"/>
      </patternFill>
    </fill>
    <fill>
      <patternFill patternType="solid">
        <fgColor theme="0" tint="-0.499984740745262"/>
        <bgColor indexed="64"/>
      </patternFill>
    </fill>
  </fills>
  <borders count="5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s>
  <cellStyleXfs count="13">
    <xf numFmtId="0" fontId="0" fillId="0" borderId="0"/>
    <xf numFmtId="9" fontId="1" fillId="0" borderId="0" applyFont="0" applyFill="0" applyBorder="0" applyAlignment="0" applyProtection="0"/>
    <xf numFmtId="0" fontId="8" fillId="0" borderId="0"/>
    <xf numFmtId="43" fontId="1" fillId="0" borderId="0" applyFont="0" applyFill="0" applyBorder="0" applyAlignment="0" applyProtection="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8" fillId="0" borderId="0"/>
    <xf numFmtId="43" fontId="1" fillId="0" borderId="0" applyFont="0" applyFill="0" applyBorder="0" applyAlignment="0" applyProtection="0"/>
    <xf numFmtId="0" fontId="16" fillId="0" borderId="0"/>
    <xf numFmtId="0" fontId="8" fillId="0" borderId="0"/>
    <xf numFmtId="164" fontId="8" fillId="0" borderId="0" applyFont="0" applyFill="0" applyBorder="0" applyAlignment="0" applyProtection="0"/>
  </cellStyleXfs>
  <cellXfs count="309">
    <xf numFmtId="0" fontId="0" fillId="0" borderId="0" xfId="0"/>
    <xf numFmtId="0" fontId="0" fillId="0" borderId="2" xfId="0" applyBorder="1"/>
    <xf numFmtId="0" fontId="0" fillId="0" borderId="3" xfId="0" applyBorder="1" applyAlignment="1">
      <alignment horizontal="center" vertical="center"/>
    </xf>
    <xf numFmtId="0" fontId="0" fillId="0" borderId="7" xfId="0" applyBorder="1"/>
    <xf numFmtId="0" fontId="6" fillId="2" borderId="3" xfId="0" applyFont="1" applyFill="1" applyBorder="1" applyAlignment="1">
      <alignment vertical="center"/>
    </xf>
    <xf numFmtId="0" fontId="2" fillId="2" borderId="3" xfId="0" applyFont="1" applyFill="1" applyBorder="1" applyAlignment="1">
      <alignment horizontal="center" vertical="center" wrapText="1"/>
    </xf>
    <xf numFmtId="0" fontId="2" fillId="0" borderId="0" xfId="0" applyFont="1" applyAlignment="1">
      <alignment vertical="center" wrapText="1"/>
    </xf>
    <xf numFmtId="3" fontId="0" fillId="0" borderId="3" xfId="0" applyNumberFormat="1" applyBorder="1" applyAlignment="1">
      <alignment vertical="center" wrapText="1"/>
    </xf>
    <xf numFmtId="4" fontId="0" fillId="0" borderId="3" xfId="0" applyNumberFormat="1" applyBorder="1" applyAlignment="1">
      <alignment vertical="center" wrapText="1"/>
    </xf>
    <xf numFmtId="9" fontId="0" fillId="0" borderId="0" xfId="1" applyFont="1" applyBorder="1" applyAlignment="1">
      <alignment vertical="center" wrapText="1"/>
    </xf>
    <xf numFmtId="0" fontId="0" fillId="0" borderId="3" xfId="0" applyBorder="1" applyAlignment="1">
      <alignment horizontal="center"/>
    </xf>
    <xf numFmtId="0" fontId="7" fillId="0" borderId="3" xfId="0" applyFont="1" applyBorder="1" applyAlignment="1">
      <alignment vertical="center" wrapText="1"/>
    </xf>
    <xf numFmtId="0" fontId="0" fillId="0" borderId="3" xfId="0" applyBorder="1" applyAlignment="1">
      <alignment vertical="center" wrapText="1"/>
    </xf>
    <xf numFmtId="0" fontId="0" fillId="0" borderId="3" xfId="0" applyBorder="1" applyAlignment="1">
      <alignment vertical="center"/>
    </xf>
    <xf numFmtId="3" fontId="0" fillId="2" borderId="3" xfId="0" applyNumberFormat="1" applyFill="1" applyBorder="1" applyAlignment="1">
      <alignment vertical="center" wrapText="1"/>
    </xf>
    <xf numFmtId="0" fontId="0" fillId="2" borderId="3" xfId="0" applyFill="1" applyBorder="1"/>
    <xf numFmtId="0" fontId="2" fillId="5" borderId="3" xfId="0" applyFont="1" applyFill="1" applyBorder="1" applyAlignment="1">
      <alignment vertical="center" wrapText="1"/>
    </xf>
    <xf numFmtId="0" fontId="0" fillId="5" borderId="3" xfId="0" applyFill="1" applyBorder="1"/>
    <xf numFmtId="3" fontId="0" fillId="5" borderId="3" xfId="0" applyNumberFormat="1" applyFill="1" applyBorder="1"/>
    <xf numFmtId="3" fontId="2" fillId="5" borderId="3" xfId="0" applyNumberFormat="1" applyFont="1" applyFill="1" applyBorder="1"/>
    <xf numFmtId="2" fontId="0" fillId="0" borderId="0" xfId="0" applyNumberFormat="1"/>
    <xf numFmtId="0" fontId="0" fillId="0" borderId="3" xfId="0" applyBorder="1"/>
    <xf numFmtId="3" fontId="0" fillId="0" borderId="3" xfId="0" applyNumberFormat="1" applyBorder="1"/>
    <xf numFmtId="3" fontId="0" fillId="0" borderId="0" xfId="0" applyNumberFormat="1" applyAlignment="1">
      <alignment vertical="center" wrapText="1"/>
    </xf>
    <xf numFmtId="0" fontId="0" fillId="0" borderId="0" xfId="0" applyAlignment="1">
      <alignment vertical="center"/>
    </xf>
    <xf numFmtId="0" fontId="0" fillId="0" borderId="3" xfId="0" applyBorder="1" applyAlignment="1">
      <alignment wrapText="1"/>
    </xf>
    <xf numFmtId="4" fontId="0" fillId="0" borderId="3" xfId="0" applyNumberFormat="1" applyBorder="1" applyAlignment="1">
      <alignment wrapText="1"/>
    </xf>
    <xf numFmtId="0" fontId="0" fillId="0" borderId="0" xfId="0" applyAlignment="1">
      <alignment horizontal="center" vertical="center"/>
    </xf>
    <xf numFmtId="0" fontId="0" fillId="2" borderId="3" xfId="0" applyFill="1" applyBorder="1" applyAlignment="1">
      <alignment vertical="center" wrapText="1"/>
    </xf>
    <xf numFmtId="3" fontId="0" fillId="2" borderId="3" xfId="0" applyNumberFormat="1" applyFill="1" applyBorder="1"/>
    <xf numFmtId="3" fontId="0" fillId="5" borderId="3" xfId="0" applyNumberFormat="1" applyFill="1" applyBorder="1" applyAlignment="1">
      <alignment vertical="center" wrapText="1"/>
    </xf>
    <xf numFmtId="0" fontId="0" fillId="0" borderId="0" xfId="0" applyAlignment="1">
      <alignment horizontal="center"/>
    </xf>
    <xf numFmtId="0" fontId="8" fillId="0" borderId="0" xfId="5"/>
    <xf numFmtId="9" fontId="0" fillId="0" borderId="0" xfId="6" applyFont="1" applyBorder="1" applyAlignment="1">
      <alignment horizontal="left" vertical="center" wrapText="1"/>
    </xf>
    <xf numFmtId="9" fontId="0" fillId="0" borderId="0" xfId="6" applyFont="1" applyBorder="1" applyAlignment="1">
      <alignment horizontal="center" vertical="center" wrapText="1"/>
    </xf>
    <xf numFmtId="0" fontId="10" fillId="0" borderId="0" xfId="5" applyFont="1"/>
    <xf numFmtId="43" fontId="11" fillId="0" borderId="0" xfId="3" applyFont="1" applyBorder="1" applyAlignment="1">
      <alignment horizontal="center" vertical="center" wrapText="1"/>
    </xf>
    <xf numFmtId="43" fontId="8" fillId="0" borderId="0" xfId="5" applyNumberFormat="1" applyAlignment="1">
      <alignment horizontal="left" vertical="center" wrapText="1"/>
    </xf>
    <xf numFmtId="4" fontId="8" fillId="0" borderId="0" xfId="5" applyNumberFormat="1" applyAlignment="1">
      <alignment horizontal="left" vertical="center" wrapText="1"/>
    </xf>
    <xf numFmtId="0" fontId="12" fillId="0" borderId="0" xfId="5" applyFont="1"/>
    <xf numFmtId="0" fontId="10" fillId="0" borderId="18" xfId="5" applyFont="1" applyBorder="1" applyAlignment="1">
      <alignment horizontal="center" vertical="distributed" wrapText="1"/>
    </xf>
    <xf numFmtId="0" fontId="8" fillId="0" borderId="18" xfId="5" applyBorder="1"/>
    <xf numFmtId="0" fontId="8" fillId="0" borderId="18" xfId="5" applyBorder="1" applyAlignment="1">
      <alignment horizontal="left" vertical="center" wrapText="1"/>
    </xf>
    <xf numFmtId="0" fontId="10" fillId="6" borderId="19" xfId="5" applyFont="1" applyFill="1" applyBorder="1" applyAlignment="1">
      <alignment horizontal="centerContinuous"/>
    </xf>
    <xf numFmtId="0" fontId="10" fillId="6" borderId="18" xfId="5" applyFont="1" applyFill="1" applyBorder="1" applyAlignment="1">
      <alignment horizontal="centerContinuous"/>
    </xf>
    <xf numFmtId="0" fontId="10" fillId="6" borderId="17" xfId="5" applyFont="1" applyFill="1" applyBorder="1" applyAlignment="1">
      <alignment horizontal="centerContinuous"/>
    </xf>
    <xf numFmtId="0" fontId="10" fillId="6" borderId="0" xfId="5" applyFont="1" applyFill="1" applyAlignment="1">
      <alignment horizontal="center"/>
    </xf>
    <xf numFmtId="0" fontId="10" fillId="0" borderId="20" xfId="5" applyFont="1" applyBorder="1" applyAlignment="1">
      <alignment horizontal="center"/>
    </xf>
    <xf numFmtId="0" fontId="10" fillId="0" borderId="21" xfId="5" applyFont="1" applyBorder="1" applyAlignment="1">
      <alignment horizontal="center"/>
    </xf>
    <xf numFmtId="0" fontId="10" fillId="0" borderId="23" xfId="5" applyFont="1" applyBorder="1" applyAlignment="1">
      <alignment horizontal="center"/>
    </xf>
    <xf numFmtId="0" fontId="10" fillId="0" borderId="0" xfId="5" applyFont="1" applyAlignment="1">
      <alignment horizontal="center"/>
    </xf>
    <xf numFmtId="0" fontId="8" fillId="0" borderId="14" xfId="5" applyBorder="1"/>
    <xf numFmtId="0" fontId="8" fillId="0" borderId="0" xfId="5" applyAlignment="1">
      <alignment horizontal="right"/>
    </xf>
    <xf numFmtId="4" fontId="8" fillId="0" borderId="0" xfId="5" applyNumberFormat="1"/>
    <xf numFmtId="4" fontId="8" fillId="0" borderId="15" xfId="5" applyNumberFormat="1" applyBorder="1"/>
    <xf numFmtId="0" fontId="8" fillId="0" borderId="0" xfId="5" applyAlignment="1">
      <alignment horizontal="center"/>
    </xf>
    <xf numFmtId="0" fontId="10" fillId="0" borderId="20" xfId="5" applyFont="1" applyBorder="1"/>
    <xf numFmtId="0" fontId="10" fillId="0" borderId="21" xfId="5" applyFont="1" applyBorder="1"/>
    <xf numFmtId="0" fontId="10" fillId="0" borderId="21" xfId="5" applyFont="1" applyBorder="1" applyAlignment="1">
      <alignment horizontal="right"/>
    </xf>
    <xf numFmtId="4" fontId="10" fillId="0" borderId="21" xfId="5" applyNumberFormat="1" applyFont="1" applyBorder="1"/>
    <xf numFmtId="4" fontId="10" fillId="0" borderId="23" xfId="5" applyNumberFormat="1" applyFont="1" applyBorder="1"/>
    <xf numFmtId="0" fontId="10" fillId="0" borderId="14" xfId="5" applyFont="1" applyBorder="1"/>
    <xf numFmtId="0" fontId="8" fillId="0" borderId="3" xfId="5" applyBorder="1" applyAlignment="1">
      <alignment horizontal="center"/>
    </xf>
    <xf numFmtId="0" fontId="8" fillId="0" borderId="3" xfId="5" applyBorder="1"/>
    <xf numFmtId="2" fontId="8" fillId="0" borderId="0" xfId="5" applyNumberFormat="1"/>
    <xf numFmtId="10" fontId="9" fillId="0" borderId="29" xfId="6" applyNumberFormat="1" applyFont="1" applyFill="1" applyBorder="1"/>
    <xf numFmtId="9" fontId="9" fillId="0" borderId="0" xfId="6" applyFont="1" applyFill="1" applyBorder="1" applyAlignment="1">
      <alignment horizontal="center"/>
    </xf>
    <xf numFmtId="0" fontId="10" fillId="7" borderId="0" xfId="5" applyFont="1" applyFill="1" applyAlignment="1">
      <alignment horizontal="center"/>
    </xf>
    <xf numFmtId="0" fontId="8" fillId="0" borderId="11" xfId="5" applyBorder="1"/>
    <xf numFmtId="0" fontId="8" fillId="0" borderId="12" xfId="5" applyBorder="1"/>
    <xf numFmtId="0" fontId="8" fillId="0" borderId="13" xfId="5" applyBorder="1"/>
    <xf numFmtId="1" fontId="10" fillId="0" borderId="0" xfId="5" applyNumberFormat="1" applyFont="1" applyAlignment="1">
      <alignment horizontal="center"/>
    </xf>
    <xf numFmtId="1" fontId="8" fillId="0" borderId="0" xfId="5" applyNumberFormat="1"/>
    <xf numFmtId="0" fontId="8" fillId="0" borderId="3" xfId="5" applyBorder="1" applyAlignment="1">
      <alignment horizontal="right"/>
    </xf>
    <xf numFmtId="1" fontId="8" fillId="0" borderId="0" xfId="5" applyNumberFormat="1" applyAlignment="1">
      <alignment horizontal="center"/>
    </xf>
    <xf numFmtId="10" fontId="8" fillId="0" borderId="3" xfId="5" applyNumberFormat="1" applyBorder="1"/>
    <xf numFmtId="9" fontId="8" fillId="0" borderId="3" xfId="5" applyNumberFormat="1" applyBorder="1"/>
    <xf numFmtId="1" fontId="8" fillId="0" borderId="3" xfId="5" applyNumberFormat="1" applyBorder="1"/>
    <xf numFmtId="10" fontId="8" fillId="0" borderId="10" xfId="5" applyNumberFormat="1" applyBorder="1"/>
    <xf numFmtId="0" fontId="8" fillId="0" borderId="10" xfId="5" applyBorder="1"/>
    <xf numFmtId="9" fontId="8" fillId="0" borderId="10" xfId="5" applyNumberFormat="1" applyBorder="1"/>
    <xf numFmtId="1" fontId="8" fillId="0" borderId="10" xfId="5" applyNumberFormat="1" applyBorder="1"/>
    <xf numFmtId="0" fontId="8" fillId="7" borderId="20" xfId="5" applyFill="1" applyBorder="1"/>
    <xf numFmtId="0" fontId="10" fillId="7" borderId="21" xfId="5" applyFont="1" applyFill="1" applyBorder="1"/>
    <xf numFmtId="0" fontId="8" fillId="7" borderId="21" xfId="5" applyFill="1" applyBorder="1"/>
    <xf numFmtId="4" fontId="8" fillId="7" borderId="21" xfId="5" applyNumberFormat="1" applyFill="1" applyBorder="1"/>
    <xf numFmtId="4" fontId="10" fillId="7" borderId="23" xfId="5" applyNumberFormat="1" applyFont="1" applyFill="1" applyBorder="1"/>
    <xf numFmtId="3" fontId="10" fillId="7" borderId="0" xfId="5" applyNumberFormat="1" applyFont="1" applyFill="1" applyAlignment="1">
      <alignment horizontal="center"/>
    </xf>
    <xf numFmtId="0" fontId="8" fillId="0" borderId="0" xfId="5" applyAlignment="1">
      <alignment horizontal="center" vertical="center" wrapText="1"/>
    </xf>
    <xf numFmtId="0" fontId="0" fillId="0" borderId="0" xfId="0" applyAlignment="1">
      <alignment vertical="center" wrapText="1"/>
    </xf>
    <xf numFmtId="0" fontId="11" fillId="0" borderId="0" xfId="5" applyFont="1"/>
    <xf numFmtId="10" fontId="8" fillId="0" borderId="0" xfId="5" applyNumberFormat="1"/>
    <xf numFmtId="0" fontId="10" fillId="0" borderId="24" xfId="5" applyFont="1" applyBorder="1"/>
    <xf numFmtId="4" fontId="10" fillId="3" borderId="25" xfId="5" applyNumberFormat="1" applyFont="1" applyFill="1" applyBorder="1"/>
    <xf numFmtId="4" fontId="10" fillId="3" borderId="16" xfId="5" applyNumberFormat="1" applyFont="1" applyFill="1" applyBorder="1"/>
    <xf numFmtId="0" fontId="2" fillId="0" borderId="3" xfId="0" applyFont="1" applyBorder="1" applyAlignment="1">
      <alignment vertical="center" wrapText="1"/>
    </xf>
    <xf numFmtId="0" fontId="2" fillId="3" borderId="3" xfId="0" applyFont="1" applyFill="1" applyBorder="1"/>
    <xf numFmtId="0" fontId="2" fillId="0" borderId="3" xfId="0" applyFont="1" applyBorder="1" applyAlignment="1">
      <alignment vertical="center"/>
    </xf>
    <xf numFmtId="4" fontId="0" fillId="0" borderId="3" xfId="0" applyNumberFormat="1" applyBorder="1" applyAlignment="1">
      <alignment horizontal="center" vertical="center" wrapText="1"/>
    </xf>
    <xf numFmtId="0" fontId="2" fillId="0" borderId="3" xfId="0" applyFont="1" applyBorder="1" applyAlignment="1">
      <alignment vertical="justify" wrapText="1"/>
    </xf>
    <xf numFmtId="0" fontId="10" fillId="0" borderId="0" xfId="5" applyFont="1" applyAlignment="1">
      <alignment horizontal="center" vertical="distributed" wrapText="1"/>
    </xf>
    <xf numFmtId="0" fontId="8" fillId="0" borderId="0" xfId="5" applyAlignment="1">
      <alignment horizontal="left" vertical="center" wrapText="1"/>
    </xf>
    <xf numFmtId="0" fontId="8" fillId="0" borderId="24" xfId="5" applyBorder="1"/>
    <xf numFmtId="0" fontId="10" fillId="0" borderId="30" xfId="5" applyFont="1" applyBorder="1"/>
    <xf numFmtId="0" fontId="8" fillId="0" borderId="26" xfId="5" applyBorder="1" applyAlignment="1">
      <alignment horizontal="left" indent="1"/>
    </xf>
    <xf numFmtId="4" fontId="8" fillId="3" borderId="25" xfId="5" applyNumberFormat="1" applyFill="1" applyBorder="1"/>
    <xf numFmtId="4" fontId="8" fillId="3" borderId="31" xfId="5" applyNumberFormat="1" applyFill="1" applyBorder="1"/>
    <xf numFmtId="4" fontId="8" fillId="3" borderId="27" xfId="5" applyNumberFormat="1" applyFill="1" applyBorder="1"/>
    <xf numFmtId="0" fontId="8" fillId="0" borderId="0" xfId="5" applyAlignment="1">
      <alignment horizontal="center" vertical="distributed" wrapText="1"/>
    </xf>
    <xf numFmtId="0" fontId="13" fillId="0" borderId="0" xfId="5" applyFont="1" applyAlignment="1">
      <alignment horizontal="center" vertical="distributed" wrapText="1"/>
    </xf>
    <xf numFmtId="0" fontId="10" fillId="0" borderId="28" xfId="5" applyFont="1" applyBorder="1"/>
    <xf numFmtId="43" fontId="15" fillId="0" borderId="0" xfId="9" applyFont="1" applyAlignment="1">
      <alignment vertical="center"/>
    </xf>
    <xf numFmtId="0" fontId="17" fillId="0" borderId="0" xfId="10" applyFont="1" applyAlignment="1">
      <alignment vertical="center"/>
    </xf>
    <xf numFmtId="0" fontId="19" fillId="0" borderId="0" xfId="10" applyFont="1" applyAlignment="1">
      <alignment vertical="center"/>
    </xf>
    <xf numFmtId="0" fontId="22" fillId="0" borderId="0" xfId="10" applyFont="1" applyAlignment="1">
      <alignment vertical="center"/>
    </xf>
    <xf numFmtId="0" fontId="23" fillId="0" borderId="0" xfId="10" applyFont="1" applyAlignment="1">
      <alignment vertical="center"/>
    </xf>
    <xf numFmtId="0" fontId="23" fillId="0" borderId="0" xfId="10" applyFont="1" applyAlignment="1">
      <alignment horizontal="right" vertical="center"/>
    </xf>
    <xf numFmtId="43" fontId="24" fillId="0" borderId="0" xfId="9" applyFont="1" applyAlignment="1">
      <alignment horizontal="center" vertical="center" wrapText="1"/>
    </xf>
    <xf numFmtId="0" fontId="25" fillId="9" borderId="3" xfId="11" applyFont="1" applyFill="1" applyBorder="1" applyAlignment="1">
      <alignment horizontal="center" vertical="center" wrapText="1"/>
    </xf>
    <xf numFmtId="43" fontId="2" fillId="0" borderId="0" xfId="9" applyFont="1" applyAlignment="1">
      <alignment horizontal="center" vertical="center" wrapText="1"/>
    </xf>
    <xf numFmtId="1" fontId="26" fillId="2" borderId="3" xfId="12" applyNumberFormat="1" applyFont="1" applyFill="1" applyBorder="1" applyAlignment="1">
      <alignment horizontal="center" vertical="center"/>
    </xf>
    <xf numFmtId="43" fontId="7" fillId="0" borderId="0" xfId="9" applyFont="1" applyAlignment="1">
      <alignment vertical="center"/>
    </xf>
    <xf numFmtId="43" fontId="7" fillId="0" borderId="2" xfId="9" applyFont="1" applyBorder="1" applyAlignment="1">
      <alignment vertical="center"/>
    </xf>
    <xf numFmtId="1" fontId="26" fillId="0" borderId="3" xfId="12" applyNumberFormat="1" applyFont="1" applyBorder="1" applyAlignment="1">
      <alignment horizontal="center" vertical="center"/>
    </xf>
    <xf numFmtId="43" fontId="7" fillId="0" borderId="9" xfId="9" applyFont="1" applyBorder="1" applyAlignment="1">
      <alignment vertical="center"/>
    </xf>
    <xf numFmtId="43" fontId="7" fillId="0" borderId="7" xfId="9" applyFont="1" applyBorder="1" applyAlignment="1">
      <alignment vertical="center"/>
    </xf>
    <xf numFmtId="43" fontId="15" fillId="0" borderId="0" xfId="9" applyFont="1" applyAlignment="1">
      <alignment horizontal="center" vertical="center"/>
    </xf>
    <xf numFmtId="43" fontId="27" fillId="0" borderId="0" xfId="9" applyFont="1" applyAlignment="1">
      <alignment horizontal="center" vertical="center"/>
    </xf>
    <xf numFmtId="0" fontId="17" fillId="0" borderId="0" xfId="10" applyFont="1" applyAlignment="1">
      <alignment horizontal="left" vertical="center" wrapText="1"/>
    </xf>
    <xf numFmtId="4" fontId="26" fillId="2" borderId="3" xfId="9" applyNumberFormat="1" applyFont="1" applyFill="1" applyBorder="1" applyAlignment="1">
      <alignment horizontal="center" vertical="center"/>
    </xf>
    <xf numFmtId="4" fontId="26" fillId="0" borderId="3" xfId="9" applyNumberFormat="1" applyFont="1" applyBorder="1" applyAlignment="1">
      <alignment horizontal="center" vertical="center"/>
    </xf>
    <xf numFmtId="4" fontId="14" fillId="9" borderId="3" xfId="9" applyNumberFormat="1" applyFont="1" applyFill="1" applyBorder="1" applyAlignment="1">
      <alignment horizontal="center" vertical="center"/>
    </xf>
    <xf numFmtId="4" fontId="28" fillId="9" borderId="3" xfId="9" applyNumberFormat="1" applyFont="1" applyFill="1" applyBorder="1" applyAlignment="1">
      <alignment horizontal="center" vertical="center"/>
    </xf>
    <xf numFmtId="0" fontId="30" fillId="0" borderId="0" xfId="0" applyFont="1" applyAlignment="1">
      <alignment horizontal="center"/>
    </xf>
    <xf numFmtId="0" fontId="31" fillId="0" borderId="0" xfId="0" applyFont="1"/>
    <xf numFmtId="0" fontId="30" fillId="0" borderId="0" xfId="0" applyFont="1" applyAlignment="1">
      <alignment horizontal="center" vertical="center" wrapText="1"/>
    </xf>
    <xf numFmtId="0" fontId="30" fillId="0" borderId="0" xfId="0" applyFont="1" applyAlignment="1">
      <alignment wrapText="1"/>
    </xf>
    <xf numFmtId="0" fontId="31" fillId="0" borderId="0" xfId="0" applyFont="1" applyAlignment="1">
      <alignment wrapText="1"/>
    </xf>
    <xf numFmtId="0" fontId="32" fillId="2" borderId="3" xfId="0" applyFont="1" applyFill="1" applyBorder="1" applyAlignment="1">
      <alignment horizontal="center" vertical="center"/>
    </xf>
    <xf numFmtId="0" fontId="30" fillId="0" borderId="0" xfId="0" applyFont="1"/>
    <xf numFmtId="0" fontId="30" fillId="0" borderId="3" xfId="0" applyFont="1" applyBorder="1" applyAlignment="1">
      <alignment vertical="center"/>
    </xf>
    <xf numFmtId="0" fontId="30" fillId="0" borderId="3" xfId="0" applyFont="1" applyBorder="1" applyAlignment="1">
      <alignment vertical="center" wrapText="1"/>
    </xf>
    <xf numFmtId="0" fontId="31" fillId="0" borderId="3" xfId="0" applyFont="1" applyBorder="1"/>
    <xf numFmtId="166" fontId="31" fillId="0" borderId="3" xfId="0" applyNumberFormat="1" applyFont="1" applyBorder="1"/>
    <xf numFmtId="0" fontId="31" fillId="0" borderId="3" xfId="0" applyFont="1" applyBorder="1" applyAlignment="1">
      <alignment vertical="center" wrapText="1"/>
    </xf>
    <xf numFmtId="4" fontId="34" fillId="0" borderId="4" xfId="0" applyNumberFormat="1" applyFont="1" applyBorder="1" applyAlignment="1">
      <alignment vertical="center" wrapText="1"/>
    </xf>
    <xf numFmtId="2" fontId="31" fillId="0" borderId="3" xfId="0" applyNumberFormat="1" applyFont="1" applyBorder="1" applyAlignment="1">
      <alignment horizontal="center" vertical="center" wrapText="1"/>
    </xf>
    <xf numFmtId="165" fontId="31" fillId="0" borderId="3" xfId="0" applyNumberFormat="1" applyFont="1" applyBorder="1" applyAlignment="1">
      <alignment horizontal="center" vertical="center" wrapText="1"/>
    </xf>
    <xf numFmtId="2" fontId="30" fillId="0" borderId="0" xfId="0" applyNumberFormat="1" applyFont="1" applyAlignment="1">
      <alignment wrapText="1"/>
    </xf>
    <xf numFmtId="0" fontId="31" fillId="0" borderId="3" xfId="0" applyFont="1" applyBorder="1" applyAlignment="1">
      <alignment horizontal="center" vertical="center" wrapText="1"/>
    </xf>
    <xf numFmtId="4" fontId="31" fillId="0" borderId="4" xfId="0" applyNumberFormat="1" applyFont="1" applyBorder="1" applyAlignment="1">
      <alignment vertical="center" wrapText="1"/>
    </xf>
    <xf numFmtId="2" fontId="31" fillId="0" borderId="3" xfId="1" applyNumberFormat="1" applyFont="1" applyFill="1" applyBorder="1" applyAlignment="1">
      <alignment horizontal="center" vertical="center" wrapText="1"/>
    </xf>
    <xf numFmtId="2" fontId="31" fillId="0" borderId="3" xfId="0" applyNumberFormat="1" applyFont="1" applyBorder="1" applyAlignment="1">
      <alignment horizontal="center" vertical="center"/>
    </xf>
    <xf numFmtId="0" fontId="30" fillId="3" borderId="3" xfId="0" applyFont="1" applyFill="1" applyBorder="1"/>
    <xf numFmtId="3" fontId="31" fillId="0" borderId="4" xfId="0" applyNumberFormat="1" applyFont="1" applyBorder="1" applyAlignment="1">
      <alignment vertical="center" wrapText="1"/>
    </xf>
    <xf numFmtId="0" fontId="31" fillId="0" borderId="3" xfId="0" applyFont="1" applyBorder="1" applyAlignment="1">
      <alignment horizontal="left" vertical="center" wrapText="1"/>
    </xf>
    <xf numFmtId="0" fontId="35" fillId="0" borderId="3" xfId="0" applyFont="1" applyBorder="1" applyAlignment="1">
      <alignment vertical="center" wrapText="1"/>
    </xf>
    <xf numFmtId="165" fontId="35" fillId="0" borderId="3" xfId="0" applyNumberFormat="1" applyFont="1" applyBorder="1" applyAlignment="1">
      <alignment horizontal="center" vertical="center" wrapText="1"/>
    </xf>
    <xf numFmtId="0" fontId="30" fillId="0" borderId="3" xfId="0" applyFont="1" applyBorder="1" applyAlignment="1">
      <alignment vertical="justify" wrapText="1"/>
    </xf>
    <xf numFmtId="4" fontId="31" fillId="0" borderId="3" xfId="0" applyNumberFormat="1" applyFont="1" applyBorder="1" applyAlignment="1">
      <alignment horizontal="center" vertical="center" wrapText="1"/>
    </xf>
    <xf numFmtId="0" fontId="30" fillId="4" borderId="3" xfId="0" applyFont="1" applyFill="1" applyBorder="1" applyAlignment="1">
      <alignment vertical="center" wrapText="1"/>
    </xf>
    <xf numFmtId="166" fontId="30" fillId="4" borderId="3" xfId="0" applyNumberFormat="1" applyFont="1" applyFill="1" applyBorder="1" applyAlignment="1">
      <alignment vertical="center" wrapText="1"/>
    </xf>
    <xf numFmtId="164" fontId="30" fillId="0" borderId="0" xfId="0" applyNumberFormat="1" applyFont="1" applyAlignment="1">
      <alignment vertical="center" wrapText="1"/>
    </xf>
    <xf numFmtId="2" fontId="30" fillId="0" borderId="0" xfId="0" applyNumberFormat="1" applyFont="1"/>
    <xf numFmtId="0" fontId="31" fillId="4" borderId="3" xfId="0" applyFont="1" applyFill="1" applyBorder="1" applyAlignment="1">
      <alignment vertical="center" wrapText="1"/>
    </xf>
    <xf numFmtId="166" fontId="31" fillId="4" borderId="3" xfId="0" applyNumberFormat="1" applyFont="1" applyFill="1" applyBorder="1" applyAlignment="1">
      <alignment vertical="center" wrapText="1"/>
    </xf>
    <xf numFmtId="164" fontId="31" fillId="0" borderId="0" xfId="0" applyNumberFormat="1" applyFont="1" applyAlignment="1">
      <alignment vertical="center" wrapText="1"/>
    </xf>
    <xf numFmtId="164" fontId="31" fillId="0" borderId="0" xfId="0" applyNumberFormat="1" applyFont="1"/>
    <xf numFmtId="10" fontId="31" fillId="0" borderId="22" xfId="0" applyNumberFormat="1" applyFont="1" applyBorder="1"/>
    <xf numFmtId="3" fontId="31" fillId="4" borderId="3" xfId="0" applyNumberFormat="1" applyFont="1" applyFill="1" applyBorder="1" applyAlignment="1">
      <alignment vertical="center" wrapText="1"/>
    </xf>
    <xf numFmtId="0" fontId="31" fillId="4" borderId="3" xfId="0" applyFont="1" applyFill="1" applyBorder="1"/>
    <xf numFmtId="166" fontId="31" fillId="4" borderId="3" xfId="0" applyNumberFormat="1" applyFont="1" applyFill="1" applyBorder="1"/>
    <xf numFmtId="3" fontId="31" fillId="0" borderId="0" xfId="0" applyNumberFormat="1" applyFont="1" applyAlignment="1">
      <alignment vertical="center" wrapText="1"/>
    </xf>
    <xf numFmtId="166" fontId="31" fillId="0" borderId="8" xfId="0" applyNumberFormat="1" applyFont="1" applyBorder="1"/>
    <xf numFmtId="164" fontId="30" fillId="0" borderId="0" xfId="0" applyNumberFormat="1" applyFont="1" applyAlignment="1">
      <alignment horizontal="center" vertical="center" wrapText="1"/>
    </xf>
    <xf numFmtId="4" fontId="31" fillId="0" borderId="4" xfId="0" applyNumberFormat="1" applyFont="1" applyBorder="1" applyAlignment="1">
      <alignment horizontal="center" vertical="center" wrapText="1"/>
    </xf>
    <xf numFmtId="164" fontId="30" fillId="0" borderId="0" xfId="0" applyNumberFormat="1" applyFont="1"/>
    <xf numFmtId="166" fontId="31" fillId="0" borderId="0" xfId="0" applyNumberFormat="1" applyFont="1"/>
    <xf numFmtId="0" fontId="30" fillId="3" borderId="3" xfId="0" applyFont="1" applyFill="1" applyBorder="1" applyAlignment="1">
      <alignment vertical="center" wrapText="1"/>
    </xf>
    <xf numFmtId="0" fontId="31" fillId="3" borderId="3" xfId="0" applyFont="1" applyFill="1" applyBorder="1"/>
    <xf numFmtId="166" fontId="31" fillId="3" borderId="3" xfId="0" applyNumberFormat="1" applyFont="1" applyFill="1" applyBorder="1"/>
    <xf numFmtId="4" fontId="31" fillId="0" borderId="3" xfId="0" applyNumberFormat="1" applyFont="1" applyBorder="1" applyAlignment="1">
      <alignment horizontal="right" vertical="center" wrapText="1"/>
    </xf>
    <xf numFmtId="4" fontId="30" fillId="0" borderId="0" xfId="0" applyNumberFormat="1" applyFont="1"/>
    <xf numFmtId="4" fontId="30" fillId="0" borderId="3" xfId="0" applyNumberFormat="1" applyFont="1" applyBorder="1" applyAlignment="1">
      <alignment horizontal="right" vertical="center" wrapText="1"/>
    </xf>
    <xf numFmtId="0" fontId="30" fillId="5" borderId="3" xfId="0" applyFont="1" applyFill="1" applyBorder="1" applyAlignment="1">
      <alignment vertical="center" wrapText="1"/>
    </xf>
    <xf numFmtId="0" fontId="31" fillId="5" borderId="3" xfId="0" applyFont="1" applyFill="1" applyBorder="1"/>
    <xf numFmtId="166" fontId="31" fillId="5" borderId="3" xfId="0" applyNumberFormat="1" applyFont="1" applyFill="1" applyBorder="1"/>
    <xf numFmtId="4" fontId="30" fillId="5" borderId="3" xfId="0" applyNumberFormat="1" applyFont="1" applyFill="1" applyBorder="1" applyAlignment="1">
      <alignment horizontal="right" vertical="center" wrapText="1"/>
    </xf>
    <xf numFmtId="0" fontId="30" fillId="0" borderId="0" xfId="0" applyFont="1" applyAlignment="1">
      <alignment vertical="center" wrapText="1"/>
    </xf>
    <xf numFmtId="166" fontId="30" fillId="0" borderId="0" xfId="0" applyNumberFormat="1" applyFont="1"/>
    <xf numFmtId="0" fontId="31" fillId="0" borderId="0" xfId="0" applyFont="1" applyAlignment="1">
      <alignment horizontal="right"/>
    </xf>
    <xf numFmtId="0" fontId="30" fillId="0" borderId="0" xfId="0" applyFont="1" applyAlignment="1">
      <alignment horizontal="center" wrapText="1"/>
    </xf>
    <xf numFmtId="0" fontId="30" fillId="4" borderId="3" xfId="0" applyFont="1" applyFill="1" applyBorder="1"/>
    <xf numFmtId="166" fontId="30" fillId="4" borderId="3" xfId="0" applyNumberFormat="1" applyFont="1" applyFill="1" applyBorder="1"/>
    <xf numFmtId="0" fontId="31" fillId="0" borderId="0" xfId="0" applyFont="1" applyAlignment="1">
      <alignment horizontal="center"/>
    </xf>
    <xf numFmtId="3" fontId="30" fillId="0" borderId="9" xfId="0" applyNumberFormat="1" applyFont="1" applyBorder="1" applyAlignment="1">
      <alignment horizontal="center"/>
    </xf>
    <xf numFmtId="0" fontId="33" fillId="0" borderId="0" xfId="0" applyFont="1" applyAlignment="1">
      <alignment horizontal="left"/>
    </xf>
    <xf numFmtId="0" fontId="32" fillId="5" borderId="3" xfId="0" applyFont="1" applyFill="1" applyBorder="1" applyAlignment="1">
      <alignment horizontal="center" vertical="center"/>
    </xf>
    <xf numFmtId="0" fontId="32" fillId="5" borderId="3" xfId="0" applyFont="1" applyFill="1" applyBorder="1" applyAlignment="1">
      <alignment vertical="center"/>
    </xf>
    <xf numFmtId="0" fontId="30" fillId="5" borderId="3" xfId="0" applyFont="1" applyFill="1" applyBorder="1" applyAlignment="1">
      <alignment horizontal="center" vertical="center" wrapText="1"/>
    </xf>
    <xf numFmtId="164" fontId="30" fillId="5" borderId="0" xfId="0" applyNumberFormat="1" applyFont="1" applyFill="1" applyAlignment="1">
      <alignment vertical="center" wrapText="1"/>
    </xf>
    <xf numFmtId="0" fontId="30" fillId="5" borderId="0" xfId="0" applyFont="1" applyFill="1"/>
    <xf numFmtId="164" fontId="31" fillId="5" borderId="0" xfId="0" applyNumberFormat="1" applyFont="1" applyFill="1"/>
    <xf numFmtId="0" fontId="31" fillId="5" borderId="0" xfId="0" applyFont="1" applyFill="1"/>
    <xf numFmtId="10" fontId="31" fillId="5" borderId="22" xfId="0" applyNumberFormat="1" applyFont="1" applyFill="1" applyBorder="1"/>
    <xf numFmtId="164" fontId="30" fillId="5" borderId="0" xfId="0" applyNumberFormat="1" applyFont="1" applyFill="1"/>
    <xf numFmtId="164" fontId="30" fillId="5" borderId="0" xfId="0" applyNumberFormat="1" applyFont="1" applyFill="1" applyAlignment="1">
      <alignment horizontal="center" vertical="center" wrapText="1"/>
    </xf>
    <xf numFmtId="0" fontId="31" fillId="0" borderId="32" xfId="0" applyFont="1" applyBorder="1" applyAlignment="1">
      <alignment vertical="center" wrapText="1"/>
    </xf>
    <xf numFmtId="2" fontId="31" fillId="0" borderId="34" xfId="1" applyNumberFormat="1" applyFont="1" applyFill="1" applyBorder="1" applyAlignment="1">
      <alignment horizontal="center" vertical="center" wrapText="1"/>
    </xf>
    <xf numFmtId="4" fontId="31" fillId="0" borderId="34" xfId="0" applyNumberFormat="1" applyFont="1" applyBorder="1" applyAlignment="1">
      <alignment horizontal="center" vertical="center" wrapText="1"/>
    </xf>
    <xf numFmtId="2" fontId="31" fillId="0" borderId="34" xfId="0" applyNumberFormat="1" applyFont="1" applyBorder="1" applyAlignment="1">
      <alignment horizontal="center" vertical="center" wrapText="1"/>
    </xf>
    <xf numFmtId="4" fontId="34" fillId="0" borderId="35" xfId="0" applyNumberFormat="1" applyFont="1" applyBorder="1" applyAlignment="1">
      <alignment vertical="center" wrapText="1"/>
    </xf>
    <xf numFmtId="0" fontId="31" fillId="0" borderId="36" xfId="0" applyFont="1" applyBorder="1" applyAlignment="1">
      <alignment vertical="center" wrapText="1"/>
    </xf>
    <xf numFmtId="4" fontId="34" fillId="0" borderId="37" xfId="0" applyNumberFormat="1" applyFont="1" applyBorder="1" applyAlignment="1">
      <alignment vertical="center" wrapText="1"/>
    </xf>
    <xf numFmtId="0" fontId="30" fillId="4" borderId="36" xfId="0" applyFont="1" applyFill="1" applyBorder="1"/>
    <xf numFmtId="4" fontId="30" fillId="4" borderId="37" xfId="0" applyNumberFormat="1" applyFont="1" applyFill="1" applyBorder="1" applyAlignment="1">
      <alignment vertical="center" wrapText="1"/>
    </xf>
    <xf numFmtId="0" fontId="31" fillId="4" borderId="36" xfId="0" applyFont="1" applyFill="1" applyBorder="1"/>
    <xf numFmtId="4" fontId="31" fillId="4" borderId="37" xfId="0" applyNumberFormat="1" applyFont="1" applyFill="1" applyBorder="1" applyAlignment="1">
      <alignment vertical="center" wrapText="1"/>
    </xf>
    <xf numFmtId="0" fontId="30" fillId="4" borderId="38" xfId="0" applyFont="1" applyFill="1" applyBorder="1"/>
    <xf numFmtId="0" fontId="30" fillId="4" borderId="39" xfId="0" applyFont="1" applyFill="1" applyBorder="1"/>
    <xf numFmtId="166" fontId="30" fillId="4" borderId="39" xfId="0" applyNumberFormat="1" applyFont="1" applyFill="1" applyBorder="1"/>
    <xf numFmtId="164" fontId="30" fillId="4" borderId="40" xfId="0" applyNumberFormat="1" applyFont="1" applyFill="1" applyBorder="1"/>
    <xf numFmtId="2" fontId="31" fillId="0" borderId="4" xfId="0" applyNumberFormat="1" applyFont="1" applyBorder="1" applyAlignment="1">
      <alignment horizontal="center" vertical="center"/>
    </xf>
    <xf numFmtId="0" fontId="30" fillId="4" borderId="4" xfId="0" applyFont="1" applyFill="1" applyBorder="1" applyAlignment="1">
      <alignment horizontal="center"/>
    </xf>
    <xf numFmtId="0" fontId="31" fillId="4" borderId="4" xfId="0" applyFont="1" applyFill="1" applyBorder="1" applyAlignment="1">
      <alignment horizontal="center"/>
    </xf>
    <xf numFmtId="0" fontId="32" fillId="2" borderId="2" xfId="0" applyFont="1" applyFill="1" applyBorder="1" applyAlignment="1">
      <alignment vertical="center"/>
    </xf>
    <xf numFmtId="0" fontId="30" fillId="8" borderId="2" xfId="0" applyFont="1" applyFill="1" applyBorder="1" applyAlignment="1">
      <alignment horizontal="center" vertical="center" wrapText="1"/>
    </xf>
    <xf numFmtId="0" fontId="10" fillId="0" borderId="41" xfId="5" applyFont="1" applyBorder="1" applyAlignment="1">
      <alignment horizontal="right" vertical="center"/>
    </xf>
    <xf numFmtId="0" fontId="8" fillId="0" borderId="42" xfId="5" applyBorder="1" applyAlignment="1">
      <alignment vertical="center" wrapText="1"/>
    </xf>
    <xf numFmtId="0" fontId="8" fillId="0" borderId="42" xfId="5" applyBorder="1" applyAlignment="1">
      <alignment horizontal="center" vertical="center"/>
    </xf>
    <xf numFmtId="4" fontId="8" fillId="0" borderId="42" xfId="5" applyNumberFormat="1" applyBorder="1" applyAlignment="1">
      <alignment vertical="center"/>
    </xf>
    <xf numFmtId="4" fontId="8" fillId="0" borderId="43" xfId="5" applyNumberFormat="1" applyBorder="1" applyAlignment="1">
      <alignment vertical="center"/>
    </xf>
    <xf numFmtId="0" fontId="10" fillId="0" borderId="44" xfId="5" applyFont="1" applyBorder="1"/>
    <xf numFmtId="3" fontId="8" fillId="0" borderId="0" xfId="5" applyNumberFormat="1"/>
    <xf numFmtId="4" fontId="8" fillId="0" borderId="45" xfId="5" applyNumberFormat="1" applyBorder="1"/>
    <xf numFmtId="4" fontId="10" fillId="6" borderId="47" xfId="5" applyNumberFormat="1" applyFont="1" applyFill="1" applyBorder="1"/>
    <xf numFmtId="10" fontId="9" fillId="0" borderId="48" xfId="7" applyNumberFormat="1" applyFont="1" applyFill="1" applyBorder="1"/>
    <xf numFmtId="0" fontId="8" fillId="0" borderId="49" xfId="5" applyBorder="1"/>
    <xf numFmtId="0" fontId="8" fillId="0" borderId="50" xfId="5" applyBorder="1"/>
    <xf numFmtId="0" fontId="8" fillId="0" borderId="51" xfId="5" applyBorder="1"/>
    <xf numFmtId="0" fontId="10" fillId="0" borderId="11" xfId="5" applyFont="1" applyBorder="1"/>
    <xf numFmtId="0" fontId="10" fillId="0" borderId="12" xfId="5" applyFont="1" applyBorder="1"/>
    <xf numFmtId="0" fontId="10" fillId="0" borderId="12" xfId="5" applyFont="1" applyBorder="1" applyAlignment="1">
      <alignment horizontal="center"/>
    </xf>
    <xf numFmtId="4" fontId="10" fillId="0" borderId="12" xfId="5" applyNumberFormat="1" applyFont="1" applyBorder="1"/>
    <xf numFmtId="4" fontId="10" fillId="0" borderId="13" xfId="5" applyNumberFormat="1" applyFont="1" applyBorder="1"/>
    <xf numFmtId="0" fontId="10" fillId="7" borderId="19" xfId="5" applyFont="1" applyFill="1" applyBorder="1" applyAlignment="1">
      <alignment horizontal="centerContinuous"/>
    </xf>
    <xf numFmtId="0" fontId="10" fillId="7" borderId="18" xfId="5" applyFont="1" applyFill="1" applyBorder="1" applyAlignment="1">
      <alignment horizontal="centerContinuous"/>
    </xf>
    <xf numFmtId="0" fontId="10" fillId="7" borderId="17" xfId="5" applyFont="1" applyFill="1" applyBorder="1" applyAlignment="1">
      <alignment horizontal="centerContinuous"/>
    </xf>
    <xf numFmtId="0" fontId="32" fillId="2" borderId="32" xfId="0" applyFont="1" applyFill="1" applyBorder="1" applyAlignment="1">
      <alignment horizontal="center" vertical="center"/>
    </xf>
    <xf numFmtId="0" fontId="32" fillId="2" borderId="34" xfId="0" applyFont="1" applyFill="1" applyBorder="1" applyAlignment="1">
      <alignment vertical="center" wrapText="1"/>
    </xf>
    <xf numFmtId="0" fontId="30" fillId="8" borderId="34" xfId="0" applyFont="1" applyFill="1" applyBorder="1" applyAlignment="1">
      <alignment horizontal="center" vertical="center" wrapText="1"/>
    </xf>
    <xf numFmtId="0" fontId="30" fillId="8" borderId="35" xfId="0" applyFont="1" applyFill="1" applyBorder="1" applyAlignment="1">
      <alignment horizontal="center" vertical="center" wrapText="1"/>
    </xf>
    <xf numFmtId="2" fontId="30" fillId="0" borderId="36" xfId="0" applyNumberFormat="1" applyFont="1" applyBorder="1" applyAlignment="1">
      <alignment horizontal="center" vertical="center"/>
    </xf>
    <xf numFmtId="3" fontId="31" fillId="0" borderId="55" xfId="0" applyNumberFormat="1" applyFont="1" applyBorder="1" applyAlignment="1">
      <alignment vertical="center" wrapText="1"/>
    </xf>
    <xf numFmtId="2" fontId="31" fillId="0" borderId="36" xfId="0" applyNumberFormat="1" applyFont="1" applyBorder="1" applyAlignment="1">
      <alignment horizontal="center" vertical="center"/>
    </xf>
    <xf numFmtId="0" fontId="31" fillId="0" borderId="36" xfId="0" applyFont="1" applyBorder="1" applyAlignment="1">
      <alignment horizontal="center"/>
    </xf>
    <xf numFmtId="4" fontId="31" fillId="0" borderId="37" xfId="0" applyNumberFormat="1" applyFont="1" applyBorder="1" applyAlignment="1">
      <alignment horizontal="center" vertical="center" wrapText="1"/>
    </xf>
    <xf numFmtId="3" fontId="31" fillId="0" borderId="37" xfId="0" applyNumberFormat="1" applyFont="1" applyBorder="1" applyAlignment="1">
      <alignment vertical="center" wrapText="1"/>
    </xf>
    <xf numFmtId="0" fontId="30" fillId="0" borderId="36" xfId="0" applyFont="1" applyBorder="1" applyAlignment="1">
      <alignment horizontal="center"/>
    </xf>
    <xf numFmtId="0" fontId="30" fillId="0" borderId="38" xfId="0" applyFont="1" applyBorder="1" applyAlignment="1">
      <alignment horizontal="center"/>
    </xf>
    <xf numFmtId="0" fontId="30" fillId="4" borderId="39" xfId="0" applyFont="1" applyFill="1" applyBorder="1" applyAlignment="1">
      <alignment vertical="center" wrapText="1"/>
    </xf>
    <xf numFmtId="166" fontId="30" fillId="4" borderId="39" xfId="0" applyNumberFormat="1" applyFont="1" applyFill="1" applyBorder="1" applyAlignment="1">
      <alignment vertical="center" wrapText="1"/>
    </xf>
    <xf numFmtId="4" fontId="30" fillId="4" borderId="40" xfId="0" applyNumberFormat="1" applyFont="1" applyFill="1" applyBorder="1"/>
    <xf numFmtId="0" fontId="32" fillId="2" borderId="34" xfId="0" applyFont="1" applyFill="1" applyBorder="1" applyAlignment="1">
      <alignment vertical="center"/>
    </xf>
    <xf numFmtId="0" fontId="30" fillId="0" borderId="37" xfId="0" applyFont="1" applyBorder="1" applyAlignment="1">
      <alignment vertical="center" wrapText="1"/>
    </xf>
    <xf numFmtId="4" fontId="31" fillId="0" borderId="37" xfId="0" applyNumberFormat="1" applyFont="1" applyBorder="1" applyAlignment="1">
      <alignment vertical="center" wrapText="1"/>
    </xf>
    <xf numFmtId="0" fontId="31" fillId="0" borderId="38" xfId="0" applyFont="1" applyBorder="1" applyAlignment="1">
      <alignment horizontal="center"/>
    </xf>
    <xf numFmtId="4" fontId="30" fillId="4" borderId="40" xfId="0" applyNumberFormat="1" applyFont="1" applyFill="1" applyBorder="1" applyAlignment="1">
      <alignment vertical="center" wrapText="1"/>
    </xf>
    <xf numFmtId="4" fontId="34" fillId="0" borderId="4" xfId="0" applyNumberFormat="1" applyFont="1" applyBorder="1" applyAlignment="1">
      <alignment horizontal="right" vertical="center" wrapText="1"/>
    </xf>
    <xf numFmtId="14" fontId="31" fillId="0" borderId="0" xfId="0" applyNumberFormat="1" applyFont="1"/>
    <xf numFmtId="1" fontId="0" fillId="0" borderId="4" xfId="0" applyNumberFormat="1" applyBorder="1" applyAlignment="1">
      <alignment horizontal="center"/>
    </xf>
    <xf numFmtId="9" fontId="31" fillId="0" borderId="0" xfId="1" applyFont="1"/>
    <xf numFmtId="4" fontId="34" fillId="5" borderId="33" xfId="0" applyNumberFormat="1" applyFont="1" applyFill="1" applyBorder="1" applyAlignment="1">
      <alignment horizontal="right" vertical="center" wrapText="1"/>
    </xf>
    <xf numFmtId="4" fontId="34" fillId="0" borderId="4" xfId="0" applyNumberFormat="1" applyFont="1" applyBorder="1" applyAlignment="1">
      <alignment horizontal="center" vertical="center" wrapText="1"/>
    </xf>
    <xf numFmtId="0" fontId="35" fillId="0" borderId="3" xfId="0" applyFont="1" applyBorder="1" applyAlignment="1">
      <alignment horizontal="left" vertical="center" wrapText="1"/>
    </xf>
    <xf numFmtId="0" fontId="3" fillId="0" borderId="0" xfId="0" applyFont="1" applyAlignment="1">
      <alignment horizontal="center"/>
    </xf>
    <xf numFmtId="0" fontId="4"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3" fontId="6" fillId="0" borderId="0" xfId="9" applyFont="1" applyAlignment="1">
      <alignment horizontal="center" vertical="center"/>
    </xf>
    <xf numFmtId="0" fontId="18" fillId="0" borderId="0" xfId="10" applyFont="1" applyAlignment="1">
      <alignment horizontal="center" vertical="center"/>
    </xf>
    <xf numFmtId="0" fontId="20" fillId="0" borderId="0" xfId="10" applyFont="1" applyAlignment="1">
      <alignment horizontal="center" vertical="center" wrapText="1"/>
    </xf>
    <xf numFmtId="0" fontId="21" fillId="0" borderId="0" xfId="10" applyFont="1" applyAlignment="1">
      <alignment horizontal="center" vertical="center" wrapText="1"/>
    </xf>
    <xf numFmtId="0" fontId="25" fillId="9" borderId="4" xfId="11" applyFont="1" applyFill="1" applyBorder="1" applyAlignment="1">
      <alignment horizontal="center" vertical="center" wrapText="1"/>
    </xf>
    <xf numFmtId="0" fontId="25" fillId="9" borderId="5" xfId="11" applyFont="1" applyFill="1" applyBorder="1" applyAlignment="1">
      <alignment horizontal="center" vertical="center" wrapText="1"/>
    </xf>
    <xf numFmtId="0" fontId="25" fillId="9" borderId="6" xfId="11" applyFont="1" applyFill="1" applyBorder="1" applyAlignment="1">
      <alignment horizontal="center" vertical="center" wrapText="1"/>
    </xf>
    <xf numFmtId="2" fontId="26" fillId="2" borderId="4" xfId="9" applyNumberFormat="1" applyFont="1" applyFill="1" applyBorder="1" applyAlignment="1">
      <alignment vertical="center" wrapText="1"/>
    </xf>
    <xf numFmtId="2" fontId="26" fillId="2" borderId="5" xfId="9" applyNumberFormat="1" applyFont="1" applyFill="1" applyBorder="1" applyAlignment="1">
      <alignment vertical="center" wrapText="1"/>
    </xf>
    <xf numFmtId="2" fontId="26" fillId="2" borderId="6" xfId="9" applyNumberFormat="1" applyFont="1" applyFill="1" applyBorder="1" applyAlignment="1">
      <alignment vertical="center" wrapText="1"/>
    </xf>
    <xf numFmtId="2" fontId="26" fillId="0" borderId="4" xfId="9" applyNumberFormat="1" applyFont="1" applyBorder="1" applyAlignment="1">
      <alignment horizontal="left" vertical="center"/>
    </xf>
    <xf numFmtId="2" fontId="26" fillId="0" borderId="6" xfId="9" applyNumberFormat="1" applyFont="1" applyBorder="1" applyAlignment="1">
      <alignment horizontal="left" vertical="center"/>
    </xf>
    <xf numFmtId="2" fontId="25" fillId="9" borderId="4" xfId="9" applyNumberFormat="1" applyFont="1" applyFill="1" applyBorder="1" applyAlignment="1">
      <alignment horizontal="center" vertical="center"/>
    </xf>
    <xf numFmtId="2" fontId="25" fillId="9" borderId="5" xfId="9" applyNumberFormat="1" applyFont="1" applyFill="1" applyBorder="1" applyAlignment="1">
      <alignment horizontal="center" vertical="center"/>
    </xf>
    <xf numFmtId="2" fontId="25" fillId="9" borderId="6" xfId="9" applyNumberFormat="1" applyFont="1" applyFill="1" applyBorder="1" applyAlignment="1">
      <alignment horizontal="center" vertical="center"/>
    </xf>
    <xf numFmtId="2" fontId="28" fillId="9" borderId="4" xfId="9" applyNumberFormat="1" applyFont="1" applyFill="1" applyBorder="1" applyAlignment="1">
      <alignment horizontal="center" vertical="center"/>
    </xf>
    <xf numFmtId="2" fontId="28" fillId="9" borderId="5" xfId="9" applyNumberFormat="1" applyFont="1" applyFill="1" applyBorder="1" applyAlignment="1">
      <alignment horizontal="center" vertical="center"/>
    </xf>
    <xf numFmtId="2" fontId="28" fillId="9" borderId="6" xfId="9" applyNumberFormat="1" applyFont="1" applyFill="1" applyBorder="1" applyAlignment="1">
      <alignment horizontal="center" vertical="center"/>
    </xf>
    <xf numFmtId="0" fontId="23" fillId="0" borderId="0" xfId="10" applyFont="1" applyAlignment="1">
      <alignment horizontal="left" vertical="center" wrapText="1"/>
    </xf>
    <xf numFmtId="0" fontId="23" fillId="0" borderId="10" xfId="10" applyFont="1" applyBorder="1" applyAlignment="1">
      <alignment horizontal="center" vertical="center"/>
    </xf>
    <xf numFmtId="0" fontId="23" fillId="0" borderId="0" xfId="10" applyFont="1" applyAlignment="1">
      <alignment horizontal="center" vertical="center"/>
    </xf>
    <xf numFmtId="0" fontId="30" fillId="0" borderId="0" xfId="0" applyFont="1" applyAlignment="1">
      <alignment horizontal="center"/>
    </xf>
    <xf numFmtId="0" fontId="32" fillId="0" borderId="0" xfId="0" applyFont="1" applyAlignment="1">
      <alignment horizontal="center" vertical="center" wrapText="1"/>
    </xf>
    <xf numFmtId="0" fontId="36" fillId="0" borderId="0" xfId="0" applyFont="1" applyAlignment="1">
      <alignment horizontal="center" wrapText="1"/>
    </xf>
    <xf numFmtId="0" fontId="10" fillId="6" borderId="46" xfId="5" applyFont="1" applyFill="1" applyBorder="1" applyAlignment="1">
      <alignment horizontal="center"/>
    </xf>
    <xf numFmtId="0" fontId="10" fillId="6" borderId="21" xfId="5" applyFont="1" applyFill="1" applyBorder="1" applyAlignment="1">
      <alignment horizontal="center"/>
    </xf>
    <xf numFmtId="0" fontId="2" fillId="0" borderId="5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cellXfs>
  <cellStyles count="13">
    <cellStyle name="Cancel 2" xfId="4" xr:uid="{00000000-0005-0000-0000-000000000000}"/>
    <cellStyle name="Diseño 2" xfId="2" xr:uid="{00000000-0005-0000-0000-000001000000}"/>
    <cellStyle name="Millares" xfId="3" builtinId="3"/>
    <cellStyle name="Millares 2" xfId="9" xr:uid="{00000000-0005-0000-0000-000003000000}"/>
    <cellStyle name="Millares 3" xfId="12" xr:uid="{00000000-0005-0000-0000-000004000000}"/>
    <cellStyle name="Normal" xfId="0" builtinId="0"/>
    <cellStyle name="Normal 10" xfId="5" xr:uid="{00000000-0005-0000-0000-000006000000}"/>
    <cellStyle name="Normal 14" xfId="8" xr:uid="{00000000-0005-0000-0000-000007000000}"/>
    <cellStyle name="Normal 2" xfId="10" xr:uid="{00000000-0005-0000-0000-000008000000}"/>
    <cellStyle name="Normal 3" xfId="11" xr:uid="{00000000-0005-0000-0000-000009000000}"/>
    <cellStyle name="Porcentaje" xfId="1" builtinId="5"/>
    <cellStyle name="Porcentaje 2" xfId="6" xr:uid="{00000000-0005-0000-0000-00000B000000}"/>
    <cellStyle name="Porcentual 6" xfId="7" xr:uid="{00000000-0005-0000-0000-00000C000000}"/>
  </cellStyles>
  <dxfs count="0"/>
  <tableStyles count="0" defaultTableStyle="TableStyleMedium2" defaultPivotStyle="PivotStyleLight16"/>
  <colors>
    <mruColors>
      <color rgb="FF0000FF"/>
      <color rgb="FFFFFFCC"/>
      <color rgb="FFCCFFCC"/>
      <color rgb="FFCA2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CC"/>
    <pageSetUpPr fitToPage="1"/>
  </sheetPr>
  <dimension ref="A1:I24"/>
  <sheetViews>
    <sheetView showZeros="0" view="pageBreakPreview" zoomScale="70" zoomScaleNormal="100" zoomScaleSheetLayoutView="70" workbookViewId="0">
      <selection activeCell="K20" sqref="K20"/>
    </sheetView>
  </sheetViews>
  <sheetFormatPr defaultColWidth="11.42578125" defaultRowHeight="15"/>
  <cols>
    <col min="1" max="1" width="4.5703125" customWidth="1"/>
    <col min="2" max="2" width="68.85546875" customWidth="1"/>
    <col min="3" max="3" width="10.42578125" customWidth="1"/>
    <col min="4" max="4" width="10.5703125" customWidth="1"/>
    <col min="5" max="5" width="8.28515625" customWidth="1"/>
    <col min="6" max="6" width="7.5703125" customWidth="1"/>
    <col min="7" max="7" width="9.42578125" customWidth="1"/>
  </cols>
  <sheetData>
    <row r="1" spans="1:9" ht="18.75">
      <c r="B1" s="275" t="s">
        <v>0</v>
      </c>
      <c r="C1" s="275"/>
      <c r="D1" s="275"/>
      <c r="E1" s="275"/>
      <c r="F1" s="275"/>
      <c r="G1" s="275"/>
    </row>
    <row r="2" spans="1:9" s="27" customFormat="1" ht="36.75" customHeight="1">
      <c r="B2" s="276" t="s">
        <v>1</v>
      </c>
      <c r="C2" s="276"/>
      <c r="D2" s="276"/>
      <c r="E2" s="276"/>
      <c r="F2" s="276"/>
      <c r="G2" s="276"/>
    </row>
    <row r="3" spans="1:9" ht="87.75" customHeight="1">
      <c r="A3" s="1"/>
      <c r="B3" s="2" t="s">
        <v>2</v>
      </c>
      <c r="C3" s="2"/>
      <c r="D3" s="277" t="s">
        <v>1</v>
      </c>
      <c r="E3" s="278"/>
      <c r="F3" s="278"/>
      <c r="G3" s="279"/>
    </row>
    <row r="4" spans="1:9" ht="45">
      <c r="A4" s="3"/>
      <c r="B4" s="4" t="s">
        <v>3</v>
      </c>
      <c r="C4" s="5" t="s">
        <v>4</v>
      </c>
      <c r="D4" s="5" t="s">
        <v>5</v>
      </c>
      <c r="E4" s="5" t="s">
        <v>6</v>
      </c>
      <c r="F4" s="5" t="s">
        <v>7</v>
      </c>
      <c r="G4" s="5" t="s">
        <v>8</v>
      </c>
    </row>
    <row r="5" spans="1:9" ht="30">
      <c r="A5" s="97" t="s">
        <v>9</v>
      </c>
      <c r="B5" s="95" t="s">
        <v>10</v>
      </c>
      <c r="C5" s="6"/>
    </row>
    <row r="6" spans="1:9" s="24" customFormat="1" ht="19.5" customHeight="1">
      <c r="A6" s="13">
        <v>1</v>
      </c>
      <c r="B6" s="12" t="s">
        <v>11</v>
      </c>
      <c r="C6" s="7"/>
      <c r="D6" s="8">
        <v>1</v>
      </c>
      <c r="E6" s="98" t="s">
        <v>12</v>
      </c>
      <c r="F6" s="8">
        <f>+$C$22/30*100%</f>
        <v>2</v>
      </c>
      <c r="G6" s="7">
        <f>+C6*D6*F6</f>
        <v>0</v>
      </c>
      <c r="I6" s="9"/>
    </row>
    <row r="7" spans="1:9">
      <c r="A7" s="21"/>
      <c r="B7" s="12"/>
      <c r="C7" s="7"/>
      <c r="D7" s="8"/>
      <c r="E7" s="98"/>
      <c r="F7" s="8"/>
      <c r="G7" s="7"/>
      <c r="I7" s="9"/>
    </row>
    <row r="8" spans="1:9">
      <c r="A8" s="97" t="s">
        <v>13</v>
      </c>
      <c r="B8" s="96" t="s">
        <v>14</v>
      </c>
      <c r="C8" s="7"/>
      <c r="D8" s="21"/>
      <c r="E8" s="10"/>
      <c r="F8" s="21"/>
      <c r="G8" s="7"/>
    </row>
    <row r="9" spans="1:9" ht="30">
      <c r="A9" s="97"/>
      <c r="B9" s="25" t="s">
        <v>15</v>
      </c>
      <c r="C9" s="7"/>
      <c r="D9" s="8">
        <v>1</v>
      </c>
      <c r="E9" s="98" t="s">
        <v>12</v>
      </c>
      <c r="F9" s="26">
        <f>+$C$22/30*15%</f>
        <v>0.3</v>
      </c>
      <c r="G9" s="7">
        <f t="shared" ref="G9:G10" si="0">+C9*D9*F9</f>
        <v>0</v>
      </c>
    </row>
    <row r="10" spans="1:9" ht="30">
      <c r="A10" s="21"/>
      <c r="B10" s="12" t="s">
        <v>16</v>
      </c>
      <c r="C10" s="7"/>
      <c r="D10" s="8">
        <v>1</v>
      </c>
      <c r="E10" s="98" t="s">
        <v>12</v>
      </c>
      <c r="F10" s="8">
        <f>+$C$22/30*10%</f>
        <v>0.2</v>
      </c>
      <c r="G10" s="7">
        <f t="shared" si="0"/>
        <v>0</v>
      </c>
      <c r="I10" s="9"/>
    </row>
    <row r="11" spans="1:9">
      <c r="A11" s="21"/>
      <c r="B11" s="12"/>
      <c r="C11" s="7"/>
      <c r="D11" s="8"/>
      <c r="E11" s="98"/>
      <c r="F11" s="8"/>
      <c r="G11" s="7"/>
      <c r="I11" s="9"/>
    </row>
    <row r="12" spans="1:9" ht="30">
      <c r="A12" s="97" t="s">
        <v>17</v>
      </c>
      <c r="B12" s="99" t="s">
        <v>18</v>
      </c>
      <c r="C12" s="7"/>
      <c r="D12" s="21"/>
      <c r="E12" s="10"/>
      <c r="F12" s="21"/>
      <c r="G12" s="21"/>
    </row>
    <row r="13" spans="1:9" ht="30">
      <c r="A13" s="21"/>
      <c r="B13" s="11" t="s">
        <v>19</v>
      </c>
      <c r="C13" s="7"/>
      <c r="D13" s="8">
        <v>1</v>
      </c>
      <c r="E13" s="98" t="s">
        <v>20</v>
      </c>
      <c r="F13" s="8">
        <v>1</v>
      </c>
      <c r="G13" s="7">
        <f>+$C$13*D13*F13</f>
        <v>0</v>
      </c>
    </row>
    <row r="14" spans="1:9" ht="31.5" customHeight="1">
      <c r="A14" s="21"/>
      <c r="B14" s="11" t="s">
        <v>21</v>
      </c>
      <c r="C14" s="7"/>
      <c r="D14" s="8">
        <v>1</v>
      </c>
      <c r="E14" s="98" t="s">
        <v>20</v>
      </c>
      <c r="F14" s="8">
        <v>1</v>
      </c>
      <c r="G14" s="7">
        <f>+$C$14*D14*F14</f>
        <v>0</v>
      </c>
    </row>
    <row r="15" spans="1:9" ht="16.5" customHeight="1">
      <c r="A15" s="21"/>
      <c r="B15" s="11"/>
      <c r="C15" s="7"/>
      <c r="D15" s="8"/>
      <c r="E15" s="98"/>
      <c r="F15" s="8"/>
      <c r="G15" s="7"/>
    </row>
    <row r="16" spans="1:9">
      <c r="A16" s="21"/>
      <c r="B16" s="28" t="s">
        <v>22</v>
      </c>
      <c r="C16" s="14"/>
      <c r="D16" s="15"/>
      <c r="E16" s="15"/>
      <c r="F16" s="15"/>
      <c r="G16" s="29">
        <f>SUM(G6:G14)</f>
        <v>0</v>
      </c>
    </row>
    <row r="17" spans="1:7">
      <c r="A17" s="21"/>
      <c r="B17" s="12"/>
      <c r="C17" s="7"/>
      <c r="D17" s="21"/>
      <c r="E17" s="21"/>
      <c r="F17" s="21"/>
      <c r="G17" s="22"/>
    </row>
    <row r="18" spans="1:7">
      <c r="A18" s="21"/>
      <c r="B18" s="16" t="s">
        <v>23</v>
      </c>
      <c r="C18" s="30"/>
      <c r="D18" s="17"/>
      <c r="E18" s="17"/>
      <c r="F18" s="17"/>
      <c r="G18" s="18">
        <f>+G16*0%</f>
        <v>0</v>
      </c>
    </row>
    <row r="19" spans="1:7">
      <c r="A19" s="21"/>
      <c r="B19" s="16" t="s">
        <v>24</v>
      </c>
      <c r="C19" s="30"/>
      <c r="D19" s="17"/>
      <c r="E19" s="17"/>
      <c r="F19" s="17"/>
      <c r="G19" s="18">
        <f>+G16+G18</f>
        <v>0</v>
      </c>
    </row>
    <row r="20" spans="1:7">
      <c r="B20" s="16" t="s">
        <v>25</v>
      </c>
      <c r="C20" s="30"/>
      <c r="D20" s="17"/>
      <c r="E20" s="17"/>
      <c r="F20" s="17"/>
      <c r="G20" s="19">
        <f>+G19*1.18</f>
        <v>0</v>
      </c>
    </row>
    <row r="21" spans="1:7">
      <c r="B21" s="6"/>
      <c r="C21" s="23"/>
    </row>
    <row r="22" spans="1:7">
      <c r="B22" s="6" t="s">
        <v>26</v>
      </c>
      <c r="C22">
        <v>60</v>
      </c>
      <c r="D22" t="s">
        <v>27</v>
      </c>
    </row>
    <row r="24" spans="1:7">
      <c r="C24" s="20">
        <f>+C22/30</f>
        <v>2</v>
      </c>
    </row>
  </sheetData>
  <mergeCells count="3">
    <mergeCell ref="B1:G1"/>
    <mergeCell ref="B2:G2"/>
    <mergeCell ref="D3:G3"/>
  </mergeCells>
  <printOptions horizontalCentered="1"/>
  <pageMargins left="0.39370078740157483" right="0.39370078740157483" top="0.39370078740157483" bottom="0.3937007874015748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4"/>
  <sheetViews>
    <sheetView view="pageBreakPreview" topLeftCell="A52" zoomScaleNormal="100" zoomScaleSheetLayoutView="100" workbookViewId="0">
      <selection activeCell="E39" sqref="E39"/>
    </sheetView>
  </sheetViews>
  <sheetFormatPr defaultColWidth="11.42578125" defaultRowHeight="12.75"/>
  <cols>
    <col min="1" max="1" width="1.85546875" style="111" customWidth="1"/>
    <col min="2" max="3" width="7.140625" style="111" customWidth="1"/>
    <col min="4" max="5" width="25.42578125" style="111" customWidth="1"/>
    <col min="6" max="6" width="23.42578125" style="111" customWidth="1"/>
    <col min="7" max="7" width="1.85546875" style="111" customWidth="1"/>
    <col min="8" max="9" width="10.28515625" style="111" bestFit="1" customWidth="1"/>
    <col min="10" max="10" width="9.28515625" style="111" bestFit="1" customWidth="1"/>
    <col min="11" max="11" width="7.28515625" style="111" bestFit="1" customWidth="1"/>
    <col min="12" max="16384" width="11.42578125" style="111"/>
  </cols>
  <sheetData>
    <row r="1" spans="2:7" hidden="1">
      <c r="B1" s="111">
        <v>4150</v>
      </c>
    </row>
    <row r="2" spans="2:7" hidden="1">
      <c r="B2" s="111">
        <f>+B1*8</f>
        <v>33200</v>
      </c>
    </row>
    <row r="3" spans="2:7" hidden="1">
      <c r="C3" s="111">
        <v>3000</v>
      </c>
      <c r="D3" s="111" t="e">
        <f>+C3+#REF!</f>
        <v>#REF!</v>
      </c>
    </row>
    <row r="4" spans="2:7" hidden="1">
      <c r="C4" s="111">
        <v>8</v>
      </c>
      <c r="D4" s="111">
        <v>8</v>
      </c>
    </row>
    <row r="5" spans="2:7" hidden="1">
      <c r="C5" s="111">
        <f>+C4*C3</f>
        <v>24000</v>
      </c>
      <c r="D5" s="111" t="e">
        <f>+D4*D3</f>
        <v>#REF!</v>
      </c>
    </row>
    <row r="6" spans="2:7" hidden="1"/>
    <row r="7" spans="2:7" hidden="1"/>
    <row r="8" spans="2:7" hidden="1"/>
    <row r="9" spans="2:7" hidden="1">
      <c r="E9" s="111">
        <v>33200</v>
      </c>
      <c r="F9" s="111">
        <v>4000</v>
      </c>
      <c r="G9" s="111">
        <f>+E9-F9</f>
        <v>29200</v>
      </c>
    </row>
    <row r="10" spans="2:7" hidden="1">
      <c r="C10" s="111">
        <v>64</v>
      </c>
      <c r="E10" s="111">
        <f>+E9/1.18</f>
        <v>28135.593220338986</v>
      </c>
    </row>
    <row r="11" spans="2:7" hidden="1">
      <c r="C11" s="111">
        <v>15</v>
      </c>
    </row>
    <row r="12" spans="2:7" hidden="1">
      <c r="C12" s="111">
        <f>+C11*C10</f>
        <v>960</v>
      </c>
      <c r="E12" s="111">
        <v>28000</v>
      </c>
      <c r="F12" s="111">
        <v>-4000</v>
      </c>
      <c r="G12" s="111">
        <f>+G9/1.18</f>
        <v>24745.762711864409</v>
      </c>
    </row>
    <row r="13" spans="2:7" hidden="1">
      <c r="E13" s="111">
        <f>+E12*1.18</f>
        <v>33040</v>
      </c>
      <c r="F13" s="111">
        <f>+F12+E12</f>
        <v>24000</v>
      </c>
    </row>
    <row r="14" spans="2:7" hidden="1"/>
    <row r="15" spans="2:7" hidden="1"/>
    <row r="16" spans="2:7" hidden="1"/>
    <row r="17" spans="3:11" hidden="1"/>
    <row r="18" spans="3:11" hidden="1">
      <c r="G18" s="111">
        <f>+G12/6</f>
        <v>4124.2937853107351</v>
      </c>
    </row>
    <row r="19" spans="3:11" hidden="1"/>
    <row r="20" spans="3:11" hidden="1"/>
    <row r="21" spans="3:11" hidden="1">
      <c r="H21" s="111" t="s">
        <v>28</v>
      </c>
      <c r="I21" s="111" t="s">
        <v>29</v>
      </c>
      <c r="J21" s="111" t="s">
        <v>30</v>
      </c>
    </row>
    <row r="22" spans="3:11" hidden="1">
      <c r="D22" s="111">
        <v>41</v>
      </c>
      <c r="E22" s="111">
        <f>+K22</f>
        <v>198</v>
      </c>
      <c r="F22" s="111">
        <f>+E22*D22</f>
        <v>8118</v>
      </c>
      <c r="H22" s="111">
        <v>11</v>
      </c>
      <c r="I22" s="111">
        <v>3</v>
      </c>
      <c r="J22" s="111">
        <v>6</v>
      </c>
      <c r="K22" s="111">
        <f>+J22*I22*H22</f>
        <v>198</v>
      </c>
    </row>
    <row r="23" spans="3:11" hidden="1">
      <c r="D23" s="111">
        <v>34.5</v>
      </c>
      <c r="E23" s="111">
        <f>+E22</f>
        <v>198</v>
      </c>
      <c r="F23" s="111">
        <f>+E23*D23</f>
        <v>6831</v>
      </c>
    </row>
    <row r="24" spans="3:11" hidden="1">
      <c r="F24" s="111">
        <f>SUM(F22:F23)</f>
        <v>14949</v>
      </c>
      <c r="J24" s="111" t="s">
        <v>31</v>
      </c>
    </row>
    <row r="25" spans="3:11" hidden="1">
      <c r="E25" s="111">
        <v>1.3</v>
      </c>
      <c r="F25" s="111">
        <f>+F24*E25</f>
        <v>19433.7</v>
      </c>
      <c r="J25" s="111" t="s">
        <v>32</v>
      </c>
    </row>
    <row r="26" spans="3:11" hidden="1">
      <c r="J26" s="111" t="s">
        <v>33</v>
      </c>
    </row>
    <row r="27" spans="3:11" hidden="1">
      <c r="C27" s="111">
        <v>1.2</v>
      </c>
      <c r="D27" s="111">
        <f>+D22*C27</f>
        <v>49.199999999999996</v>
      </c>
      <c r="E27" s="111">
        <f>+E23</f>
        <v>198</v>
      </c>
      <c r="F27" s="111">
        <f>+E27*D27</f>
        <v>9741.5999999999985</v>
      </c>
      <c r="J27" s="111" t="s">
        <v>34</v>
      </c>
    </row>
    <row r="28" spans="3:11" hidden="1">
      <c r="D28" s="111">
        <f>+D23*C27</f>
        <v>41.4</v>
      </c>
      <c r="E28" s="111">
        <f>+E27</f>
        <v>198</v>
      </c>
      <c r="F28" s="111">
        <f>+E28*D28</f>
        <v>8197.1999999999989</v>
      </c>
      <c r="J28" s="111" t="s">
        <v>35</v>
      </c>
    </row>
    <row r="29" spans="3:11" hidden="1">
      <c r="F29" s="111">
        <f>SUM(F27:F28)</f>
        <v>17938.799999999996</v>
      </c>
      <c r="J29" s="111" t="s">
        <v>36</v>
      </c>
    </row>
    <row r="30" spans="3:11" hidden="1"/>
    <row r="31" spans="3:11" hidden="1">
      <c r="C31" s="111" t="s">
        <v>37</v>
      </c>
      <c r="D31" s="111">
        <v>50</v>
      </c>
      <c r="E31" s="111">
        <f>+E27</f>
        <v>198</v>
      </c>
      <c r="F31" s="111">
        <f>+E31*D31</f>
        <v>9900</v>
      </c>
    </row>
    <row r="32" spans="3:11" hidden="1">
      <c r="C32" s="111" t="s">
        <v>38</v>
      </c>
      <c r="D32" s="111">
        <v>40</v>
      </c>
      <c r="E32" s="111">
        <f>+E31</f>
        <v>198</v>
      </c>
      <c r="F32" s="111">
        <f>+E32*D32</f>
        <v>7920</v>
      </c>
    </row>
    <row r="33" spans="1:7" hidden="1">
      <c r="F33" s="111">
        <f>SUM(F31:F32)</f>
        <v>17820</v>
      </c>
    </row>
    <row r="35" spans="1:7" ht="25.5" customHeight="1">
      <c r="B35" s="280"/>
      <c r="C35" s="280"/>
      <c r="D35" s="280"/>
      <c r="E35" s="280"/>
      <c r="F35" s="280"/>
    </row>
    <row r="36" spans="1:7" s="113" customFormat="1" ht="24" customHeight="1">
      <c r="A36" s="112"/>
      <c r="B36" s="281" t="s">
        <v>39</v>
      </c>
      <c r="C36" s="281"/>
      <c r="D36" s="281"/>
      <c r="E36" s="281"/>
      <c r="F36" s="281"/>
      <c r="G36" s="112"/>
    </row>
    <row r="37" spans="1:7" s="113" customFormat="1" ht="94.15" customHeight="1">
      <c r="A37" s="112"/>
      <c r="B37" s="282" t="str">
        <f>+COSTOS!A2</f>
        <v>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v>
      </c>
      <c r="C37" s="283"/>
      <c r="D37" s="283"/>
      <c r="E37" s="283"/>
      <c r="F37" s="283"/>
      <c r="G37" s="112"/>
    </row>
    <row r="38" spans="1:7" s="114" customFormat="1" ht="21.75" customHeight="1">
      <c r="A38" s="112"/>
      <c r="B38" s="112"/>
      <c r="C38" s="112"/>
      <c r="D38" s="112"/>
      <c r="E38" s="112"/>
      <c r="F38" s="112"/>
      <c r="G38" s="112"/>
    </row>
    <row r="39" spans="1:7" s="114" customFormat="1" ht="29.25" customHeight="1">
      <c r="A39" s="112"/>
      <c r="B39" s="115" t="s">
        <v>40</v>
      </c>
      <c r="C39" s="112"/>
      <c r="D39" s="112"/>
      <c r="F39" s="116" t="s">
        <v>41</v>
      </c>
      <c r="G39" s="112"/>
    </row>
    <row r="40" spans="1:7" s="114" customFormat="1" ht="6" customHeight="1">
      <c r="A40" s="112"/>
      <c r="B40" s="115"/>
      <c r="C40" s="112"/>
      <c r="D40" s="112"/>
      <c r="E40" s="112"/>
      <c r="F40" s="112"/>
      <c r="G40" s="112"/>
    </row>
    <row r="41" spans="1:7" s="119" customFormat="1" ht="29.25" customHeight="1">
      <c r="A41" s="117"/>
      <c r="B41" s="284" t="s">
        <v>42</v>
      </c>
      <c r="C41" s="285"/>
      <c r="D41" s="285"/>
      <c r="E41" s="286"/>
      <c r="F41" s="118" t="s">
        <v>43</v>
      </c>
      <c r="G41" s="117"/>
    </row>
    <row r="42" spans="1:7" s="121" customFormat="1" ht="36.75" customHeight="1">
      <c r="A42" s="111"/>
      <c r="B42" s="120" t="s">
        <v>44</v>
      </c>
      <c r="C42" s="287" t="s">
        <v>45</v>
      </c>
      <c r="D42" s="288"/>
      <c r="E42" s="289"/>
      <c r="F42" s="129">
        <f>SUM(F43:F45)</f>
        <v>257686.46540364868</v>
      </c>
      <c r="G42" s="111"/>
    </row>
    <row r="43" spans="1:7" s="121" customFormat="1" ht="26.25" customHeight="1">
      <c r="A43" s="111"/>
      <c r="B43" s="122"/>
      <c r="C43" s="123" t="s">
        <v>46</v>
      </c>
      <c r="D43" s="290" t="s">
        <v>47</v>
      </c>
      <c r="E43" s="291"/>
      <c r="F43" s="130">
        <f>+COSTOS!G79</f>
        <v>113879.35186222494</v>
      </c>
      <c r="G43" s="111"/>
    </row>
    <row r="44" spans="1:7" s="121" customFormat="1" ht="26.25" customHeight="1">
      <c r="A44" s="111"/>
      <c r="B44" s="124"/>
      <c r="C44" s="123" t="s">
        <v>48</v>
      </c>
      <c r="D44" s="290" t="s">
        <v>49</v>
      </c>
      <c r="E44" s="291"/>
      <c r="F44" s="130">
        <f>+COSTOS!G80</f>
        <v>143807.11354142375</v>
      </c>
      <c r="G44" s="111"/>
    </row>
    <row r="45" spans="1:7" s="121" customFormat="1" ht="26.25" customHeight="1">
      <c r="A45" s="111"/>
      <c r="B45" s="125"/>
      <c r="C45" s="123" t="s">
        <v>50</v>
      </c>
      <c r="D45" s="290" t="s">
        <v>51</v>
      </c>
      <c r="E45" s="291"/>
      <c r="F45" s="130">
        <f>+COSTOS!G81</f>
        <v>0</v>
      </c>
      <c r="G45" s="111"/>
    </row>
    <row r="46" spans="1:7" s="127" customFormat="1" ht="27" customHeight="1">
      <c r="A46" s="126"/>
      <c r="B46" s="292" t="s">
        <v>52</v>
      </c>
      <c r="C46" s="293"/>
      <c r="D46" s="293"/>
      <c r="E46" s="294"/>
      <c r="F46" s="131">
        <f>+F42</f>
        <v>257686.46540364868</v>
      </c>
      <c r="G46" s="126"/>
    </row>
    <row r="47" spans="1:7" s="127" customFormat="1" ht="27" customHeight="1">
      <c r="A47" s="126"/>
      <c r="B47" s="292" t="s">
        <v>53</v>
      </c>
      <c r="C47" s="293"/>
      <c r="D47" s="293"/>
      <c r="E47" s="294"/>
      <c r="F47" s="131">
        <f>+F48-F46</f>
        <v>46383.563772656722</v>
      </c>
      <c r="G47" s="126"/>
    </row>
    <row r="48" spans="1:7" s="127" customFormat="1" ht="27" customHeight="1">
      <c r="A48" s="126"/>
      <c r="B48" s="295" t="s">
        <v>54</v>
      </c>
      <c r="C48" s="296"/>
      <c r="D48" s="296"/>
      <c r="E48" s="297"/>
      <c r="F48" s="132">
        <f>+F46*1.18</f>
        <v>304070.0291763054</v>
      </c>
      <c r="G48" s="126"/>
    </row>
    <row r="50" spans="2:6" ht="70.5" customHeight="1">
      <c r="B50" s="298" t="s">
        <v>55</v>
      </c>
      <c r="C50" s="298"/>
      <c r="D50" s="298"/>
      <c r="E50" s="298"/>
      <c r="F50" s="298"/>
    </row>
    <row r="51" spans="2:6">
      <c r="B51" s="112"/>
      <c r="C51" s="112"/>
      <c r="D51" s="112"/>
      <c r="E51" s="112"/>
      <c r="F51" s="112"/>
    </row>
    <row r="52" spans="2:6" ht="15" customHeight="1">
      <c r="B52" s="298" t="s">
        <v>56</v>
      </c>
      <c r="C52" s="298"/>
      <c r="D52" s="298"/>
      <c r="E52" s="298"/>
      <c r="F52" s="298"/>
    </row>
    <row r="53" spans="2:6" ht="15" customHeight="1">
      <c r="B53" s="298"/>
      <c r="C53" s="298"/>
      <c r="D53" s="298"/>
      <c r="E53" s="298"/>
      <c r="F53" s="298"/>
    </row>
    <row r="54" spans="2:6" ht="15" customHeight="1">
      <c r="B54" s="298"/>
      <c r="C54" s="298"/>
      <c r="D54" s="298"/>
      <c r="E54" s="298"/>
      <c r="F54" s="298"/>
    </row>
    <row r="55" spans="2:6" ht="15" customHeight="1">
      <c r="B55" s="128"/>
      <c r="C55" s="128"/>
      <c r="D55" s="128"/>
      <c r="E55" s="128"/>
      <c r="F55" s="128"/>
    </row>
    <row r="56" spans="2:6" ht="15" customHeight="1">
      <c r="B56" s="128"/>
      <c r="C56" s="128"/>
      <c r="D56" s="128"/>
      <c r="E56" s="128"/>
      <c r="F56" s="128"/>
    </row>
    <row r="57" spans="2:6" ht="15" customHeight="1">
      <c r="B57" s="128"/>
      <c r="C57" s="128"/>
      <c r="D57" s="128"/>
      <c r="E57" s="128"/>
      <c r="F57" s="128"/>
    </row>
    <row r="58" spans="2:6" ht="15" customHeight="1">
      <c r="B58" s="128"/>
      <c r="C58" s="128"/>
      <c r="D58" s="128"/>
      <c r="E58" s="128"/>
      <c r="F58" s="128"/>
    </row>
    <row r="59" spans="2:6">
      <c r="B59" s="112"/>
      <c r="C59" s="112"/>
      <c r="D59" s="112"/>
      <c r="E59" s="112"/>
      <c r="F59" s="112"/>
    </row>
    <row r="60" spans="2:6">
      <c r="B60" s="112"/>
      <c r="C60" s="112"/>
      <c r="D60" s="112"/>
      <c r="E60" s="112"/>
      <c r="F60" s="112"/>
    </row>
    <row r="61" spans="2:6">
      <c r="B61" s="112"/>
      <c r="C61" s="112"/>
      <c r="D61" s="299" t="s">
        <v>57</v>
      </c>
      <c r="E61" s="299"/>
      <c r="F61" s="299"/>
    </row>
    <row r="62" spans="2:6">
      <c r="B62" s="112"/>
      <c r="C62" s="112"/>
      <c r="D62" s="300" t="s">
        <v>58</v>
      </c>
      <c r="E62" s="300"/>
      <c r="F62" s="300"/>
    </row>
    <row r="63" spans="2:6">
      <c r="B63" s="112"/>
      <c r="C63" s="112"/>
      <c r="D63" s="112"/>
      <c r="E63" s="112"/>
      <c r="F63" s="112"/>
    </row>
    <row r="64" spans="2:6" ht="15">
      <c r="B64" s="113"/>
      <c r="C64" s="113"/>
      <c r="D64" s="113"/>
      <c r="E64" s="113"/>
      <c r="F64" s="113"/>
    </row>
  </sheetData>
  <mergeCells count="15">
    <mergeCell ref="B48:E48"/>
    <mergeCell ref="B50:F50"/>
    <mergeCell ref="B52:F54"/>
    <mergeCell ref="D61:F61"/>
    <mergeCell ref="D62:F62"/>
    <mergeCell ref="D43:E43"/>
    <mergeCell ref="B47:E47"/>
    <mergeCell ref="D44:E44"/>
    <mergeCell ref="D45:E45"/>
    <mergeCell ref="B46:E46"/>
    <mergeCell ref="B35:F35"/>
    <mergeCell ref="B36:F36"/>
    <mergeCell ref="B37:F37"/>
    <mergeCell ref="B41:E41"/>
    <mergeCell ref="C42:E42"/>
  </mergeCells>
  <phoneticPr fontId="29" type="noConversion"/>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BA109"/>
  <sheetViews>
    <sheetView tabSelected="1" view="pageBreakPreview" topLeftCell="A53" zoomScale="70" zoomScaleNormal="70" zoomScaleSheetLayoutView="70" workbookViewId="0">
      <selection activeCell="H87" sqref="H87"/>
    </sheetView>
  </sheetViews>
  <sheetFormatPr defaultColWidth="11.42578125" defaultRowHeight="14.25"/>
  <cols>
    <col min="1" max="1" width="6.7109375" style="194" bestFit="1" customWidth="1"/>
    <col min="2" max="2" width="68.5703125" style="134" customWidth="1"/>
    <col min="3" max="3" width="12.28515625" style="134" customWidth="1"/>
    <col min="4" max="4" width="10.5703125" style="134" customWidth="1"/>
    <col min="5" max="5" width="10.140625" style="134" customWidth="1"/>
    <col min="6" max="6" width="11.28515625" style="134" customWidth="1"/>
    <col min="7" max="7" width="15.28515625" style="134" customWidth="1"/>
    <col min="8" max="8" width="7.5703125" style="134" customWidth="1"/>
    <col min="9" max="9" width="9.5703125" style="134" customWidth="1"/>
    <col min="10" max="10" width="15" style="134" customWidth="1"/>
    <col min="11" max="11" width="6.85546875" style="134" customWidth="1"/>
    <col min="12" max="12" width="11.42578125" style="134" customWidth="1"/>
    <col min="13" max="13" width="11.7109375" style="134" customWidth="1"/>
    <col min="14" max="14" width="13.28515625" style="134" customWidth="1"/>
    <col min="15" max="15" width="11.42578125" style="134" customWidth="1"/>
    <col min="16" max="16" width="15" style="134" customWidth="1"/>
    <col min="17" max="17" width="5.28515625" style="134" customWidth="1"/>
    <col min="18" max="18" width="3.140625" style="134" customWidth="1"/>
    <col min="19" max="21" width="11.42578125" style="134" customWidth="1"/>
    <col min="22" max="22" width="16.140625" style="134" customWidth="1"/>
    <col min="23" max="29" width="11.42578125" style="134" customWidth="1"/>
    <col min="30" max="16384" width="11.42578125" style="134"/>
  </cols>
  <sheetData>
    <row r="1" spans="1:26" ht="15">
      <c r="A1" s="133"/>
      <c r="B1" s="301" t="s">
        <v>59</v>
      </c>
      <c r="C1" s="301"/>
      <c r="D1" s="301"/>
      <c r="E1" s="301"/>
      <c r="F1" s="301"/>
      <c r="G1" s="301"/>
      <c r="H1" s="133"/>
    </row>
    <row r="2" spans="1:26" ht="106.9" customHeight="1">
      <c r="A2" s="302" t="s">
        <v>60</v>
      </c>
      <c r="B2" s="302"/>
      <c r="C2" s="302"/>
      <c r="D2" s="302"/>
      <c r="E2" s="302"/>
      <c r="F2" s="302"/>
      <c r="G2" s="302"/>
      <c r="H2" s="135"/>
    </row>
    <row r="3" spans="1:26" ht="15">
      <c r="A3" s="191"/>
      <c r="B3" s="137" t="s">
        <v>61</v>
      </c>
      <c r="C3" s="136"/>
      <c r="D3" s="136"/>
      <c r="E3" s="136"/>
      <c r="F3" s="135"/>
      <c r="G3" s="136"/>
      <c r="H3" s="136"/>
    </row>
    <row r="4" spans="1:26" ht="15">
      <c r="A4" s="191"/>
      <c r="B4" s="137" t="s">
        <v>62</v>
      </c>
      <c r="C4" s="136"/>
      <c r="D4" s="136"/>
      <c r="E4" s="136"/>
      <c r="F4" s="135"/>
      <c r="G4" s="136"/>
      <c r="H4" s="136"/>
    </row>
    <row r="5" spans="1:26" ht="15">
      <c r="A5" s="191"/>
      <c r="B5" s="137" t="str">
        <f>"Plazo: "&amp;F85&amp;" DIAS CALENDARIO"</f>
        <v>Plazo: 200 DIAS CALENDARIO</v>
      </c>
      <c r="C5" s="136"/>
      <c r="D5" s="136"/>
      <c r="E5" s="136"/>
      <c r="F5" s="136"/>
      <c r="G5" s="136"/>
      <c r="H5" s="136"/>
      <c r="I5" s="136"/>
      <c r="J5" s="136"/>
      <c r="K5" s="136"/>
      <c r="L5" s="136"/>
      <c r="M5" s="136"/>
      <c r="N5" s="136"/>
      <c r="O5" s="136"/>
      <c r="P5" s="136"/>
      <c r="Q5" s="136"/>
      <c r="R5" s="136"/>
      <c r="S5" s="136"/>
      <c r="T5" s="136"/>
      <c r="U5" s="136"/>
      <c r="V5" s="136"/>
      <c r="W5" s="136"/>
    </row>
    <row r="6" spans="1:26" ht="15">
      <c r="A6" s="191"/>
      <c r="B6" s="137"/>
      <c r="C6" s="136"/>
      <c r="D6" s="136"/>
      <c r="E6" s="136"/>
      <c r="F6" s="136"/>
      <c r="G6" s="136"/>
      <c r="H6" s="136"/>
      <c r="I6" s="136"/>
      <c r="J6" s="136"/>
      <c r="K6" s="136"/>
      <c r="L6" s="136"/>
      <c r="M6" s="136"/>
      <c r="N6" s="136"/>
      <c r="O6" s="136"/>
      <c r="P6" s="136"/>
      <c r="Q6" s="136"/>
      <c r="R6" s="136"/>
      <c r="S6" s="136"/>
      <c r="T6" s="136"/>
      <c r="U6" s="136"/>
      <c r="V6" s="136"/>
      <c r="W6" s="136"/>
    </row>
    <row r="7" spans="1:26" ht="20.25">
      <c r="A7" s="196" t="s">
        <v>63</v>
      </c>
      <c r="B7" s="137"/>
      <c r="C7" s="136"/>
      <c r="D7" s="136"/>
      <c r="E7" s="136"/>
      <c r="F7" s="136"/>
      <c r="G7" s="136"/>
      <c r="H7" s="136"/>
      <c r="I7" s="136"/>
      <c r="J7" s="136"/>
      <c r="K7" s="136"/>
      <c r="L7" s="136"/>
      <c r="M7" s="136"/>
      <c r="N7" s="136"/>
      <c r="O7" s="136"/>
      <c r="P7" s="136"/>
      <c r="Q7" s="136"/>
      <c r="R7" s="136"/>
      <c r="S7" s="136"/>
      <c r="T7" s="136"/>
      <c r="U7" s="136"/>
      <c r="V7" s="136"/>
      <c r="W7" s="136"/>
    </row>
    <row r="8" spans="1:26" ht="15">
      <c r="A8" s="191"/>
      <c r="B8" s="137"/>
      <c r="C8" s="136"/>
      <c r="D8" s="136"/>
      <c r="E8" s="136"/>
      <c r="F8" s="136"/>
      <c r="G8" s="136"/>
      <c r="H8" s="136"/>
      <c r="I8" s="136"/>
      <c r="J8" s="136"/>
      <c r="K8" s="136"/>
      <c r="L8" s="136"/>
      <c r="M8" s="136"/>
      <c r="N8" s="136"/>
      <c r="O8" s="136"/>
      <c r="P8" s="136"/>
      <c r="Q8" s="136"/>
      <c r="R8" s="136"/>
      <c r="S8" s="136"/>
      <c r="T8" s="136"/>
      <c r="U8" s="136"/>
      <c r="V8" s="136"/>
      <c r="W8" s="136"/>
    </row>
    <row r="9" spans="1:26" s="139" customFormat="1" ht="60">
      <c r="A9" s="248" t="s">
        <v>64</v>
      </c>
      <c r="B9" s="263" t="s">
        <v>65</v>
      </c>
      <c r="C9" s="250" t="s">
        <v>66</v>
      </c>
      <c r="D9" s="250" t="s">
        <v>5</v>
      </c>
      <c r="E9" s="250" t="s">
        <v>6</v>
      </c>
      <c r="F9" s="250" t="s">
        <v>7</v>
      </c>
      <c r="G9" s="251" t="s">
        <v>67</v>
      </c>
      <c r="H9" s="136"/>
      <c r="I9" s="136"/>
      <c r="J9" s="136"/>
      <c r="K9" s="136"/>
      <c r="L9" s="136"/>
      <c r="M9" s="136"/>
      <c r="N9" s="136"/>
      <c r="O9" s="136"/>
      <c r="P9" s="136"/>
      <c r="Q9" s="136"/>
      <c r="R9" s="136"/>
      <c r="S9" s="136"/>
      <c r="T9" s="136"/>
      <c r="U9" s="136"/>
      <c r="V9" s="136"/>
      <c r="W9" s="136"/>
    </row>
    <row r="10" spans="1:26" ht="15">
      <c r="A10" s="252">
        <v>1</v>
      </c>
      <c r="B10" s="140" t="s">
        <v>68</v>
      </c>
      <c r="C10" s="141"/>
      <c r="D10" s="142"/>
      <c r="E10" s="142"/>
      <c r="F10" s="143"/>
      <c r="G10" s="264"/>
      <c r="H10" s="136"/>
      <c r="I10" s="136"/>
      <c r="J10" s="136"/>
      <c r="K10" s="136"/>
      <c r="L10" s="136"/>
      <c r="M10" s="136"/>
      <c r="N10" s="136"/>
      <c r="O10" s="136"/>
      <c r="P10" s="136"/>
      <c r="Q10" s="136"/>
      <c r="R10" s="136"/>
      <c r="S10" s="136"/>
      <c r="T10" s="136"/>
      <c r="U10" s="136"/>
      <c r="V10" s="136"/>
      <c r="W10" s="136"/>
    </row>
    <row r="11" spans="1:26" ht="15">
      <c r="A11" s="254">
        <f>+A10+0.01</f>
        <v>1.01</v>
      </c>
      <c r="B11" s="144" t="s">
        <v>69</v>
      </c>
      <c r="C11" s="145">
        <v>9000</v>
      </c>
      <c r="D11" s="146">
        <v>1</v>
      </c>
      <c r="E11" s="147" t="s">
        <v>12</v>
      </c>
      <c r="F11" s="146">
        <f>+ROUND(F86/30,2)</f>
        <v>3.33</v>
      </c>
      <c r="G11" s="213">
        <f>+C11*D11*F11</f>
        <v>29970</v>
      </c>
      <c r="H11" s="136"/>
      <c r="I11" s="136"/>
      <c r="J11" s="136"/>
      <c r="K11" s="136"/>
      <c r="L11" s="136"/>
      <c r="M11" s="136"/>
      <c r="N11" s="136"/>
      <c r="O11" s="136"/>
      <c r="P11" s="136"/>
      <c r="Q11" s="136"/>
      <c r="R11" s="136"/>
      <c r="S11" s="136"/>
      <c r="T11" s="136"/>
      <c r="U11" s="136"/>
      <c r="V11" s="136"/>
      <c r="W11" s="136"/>
      <c r="X11" s="134" t="s">
        <v>70</v>
      </c>
      <c r="Y11" s="134">
        <v>135</v>
      </c>
      <c r="Z11" s="134">
        <f>+Y11/30</f>
        <v>4.5</v>
      </c>
    </row>
    <row r="12" spans="1:26" ht="15">
      <c r="A12" s="254">
        <f>+A11+0.01</f>
        <v>1.02</v>
      </c>
      <c r="B12" s="144" t="s">
        <v>71</v>
      </c>
      <c r="C12" s="145">
        <v>7000</v>
      </c>
      <c r="D12" s="146">
        <v>1</v>
      </c>
      <c r="E12" s="147" t="s">
        <v>12</v>
      </c>
      <c r="F12" s="146">
        <f>F11</f>
        <v>3.33</v>
      </c>
      <c r="G12" s="213">
        <f t="shared" ref="G12" si="0">+C12*D12*F12</f>
        <v>23310</v>
      </c>
      <c r="H12" s="136"/>
      <c r="I12" s="148"/>
      <c r="J12" s="136"/>
      <c r="K12" s="136"/>
      <c r="L12" s="136"/>
      <c r="M12" s="136"/>
      <c r="N12" s="136"/>
      <c r="O12" s="136"/>
      <c r="P12" s="136"/>
      <c r="Q12" s="136"/>
      <c r="R12" s="136"/>
      <c r="S12" s="136"/>
      <c r="T12" s="136"/>
      <c r="U12" s="136"/>
      <c r="V12" s="136"/>
      <c r="W12" s="136"/>
    </row>
    <row r="13" spans="1:26" ht="15">
      <c r="A13" s="254">
        <f t="shared" ref="A13:A14" si="1">+A12+0.01</f>
        <v>1.03</v>
      </c>
      <c r="B13" s="144" t="s">
        <v>72</v>
      </c>
      <c r="C13" s="145">
        <v>5000</v>
      </c>
      <c r="D13" s="146">
        <v>1</v>
      </c>
      <c r="E13" s="147" t="s">
        <v>12</v>
      </c>
      <c r="F13" s="146">
        <f>ROUND(F11/2,0)</f>
        <v>2</v>
      </c>
      <c r="G13" s="213">
        <f t="shared" ref="G13" si="2">+C13*D13*F13</f>
        <v>10000</v>
      </c>
      <c r="H13" s="136"/>
      <c r="I13" s="148"/>
      <c r="J13" s="136"/>
      <c r="K13" s="136"/>
      <c r="L13" s="136"/>
      <c r="M13" s="136"/>
      <c r="N13" s="136"/>
      <c r="O13" s="136"/>
      <c r="P13" s="136"/>
      <c r="Q13" s="136"/>
      <c r="R13" s="136"/>
      <c r="S13" s="136"/>
      <c r="T13" s="136"/>
      <c r="U13" s="136"/>
      <c r="V13" s="136"/>
      <c r="W13" s="136"/>
    </row>
    <row r="14" spans="1:26" ht="15">
      <c r="A14" s="254">
        <f t="shared" si="1"/>
        <v>1.04</v>
      </c>
      <c r="B14" s="144" t="s">
        <v>73</v>
      </c>
      <c r="C14" s="145">
        <v>5000</v>
      </c>
      <c r="D14" s="146">
        <v>1</v>
      </c>
      <c r="E14" s="147" t="s">
        <v>12</v>
      </c>
      <c r="F14" s="146">
        <f>ROUND(F12/2,0)</f>
        <v>2</v>
      </c>
      <c r="G14" s="213">
        <f t="shared" ref="G14" si="3">+C14*D14*F14</f>
        <v>10000</v>
      </c>
      <c r="H14" s="136"/>
      <c r="I14" s="148"/>
      <c r="J14" s="136"/>
      <c r="K14" s="136"/>
      <c r="L14" s="136"/>
      <c r="M14" s="136"/>
      <c r="N14" s="136"/>
      <c r="O14" s="136"/>
      <c r="P14" s="136"/>
      <c r="Q14" s="136"/>
      <c r="R14" s="136"/>
      <c r="S14" s="136"/>
      <c r="T14" s="136"/>
      <c r="U14" s="136"/>
      <c r="V14" s="136"/>
      <c r="W14" s="136"/>
    </row>
    <row r="15" spans="1:26" ht="15">
      <c r="A15" s="255"/>
      <c r="B15" s="149"/>
      <c r="C15" s="150"/>
      <c r="D15" s="151"/>
      <c r="E15" s="149"/>
      <c r="F15" s="152"/>
      <c r="G15" s="265"/>
      <c r="H15" s="136"/>
      <c r="I15" s="136"/>
      <c r="J15" s="136"/>
      <c r="K15" s="136"/>
      <c r="L15" s="136"/>
      <c r="M15" s="136"/>
      <c r="N15" s="136"/>
      <c r="O15" s="136"/>
      <c r="P15" s="136"/>
      <c r="Q15" s="136"/>
      <c r="R15" s="136"/>
      <c r="S15" s="136"/>
      <c r="T15" s="136"/>
      <c r="U15" s="136"/>
      <c r="V15" s="136"/>
      <c r="W15" s="136"/>
    </row>
    <row r="16" spans="1:26" ht="15">
      <c r="A16" s="252">
        <v>2</v>
      </c>
      <c r="B16" s="153" t="s">
        <v>74</v>
      </c>
      <c r="C16" s="154"/>
      <c r="D16" s="151"/>
      <c r="E16" s="149"/>
      <c r="F16" s="146"/>
      <c r="G16" s="257"/>
      <c r="H16" s="136"/>
      <c r="I16" s="136"/>
      <c r="J16" s="136"/>
      <c r="K16" s="136"/>
      <c r="L16" s="136"/>
      <c r="N16" s="136"/>
      <c r="O16" s="136"/>
      <c r="P16" s="136"/>
      <c r="Q16" s="136"/>
      <c r="R16" s="136"/>
      <c r="S16" s="136"/>
      <c r="T16" s="136"/>
      <c r="U16" s="136"/>
      <c r="V16" s="136"/>
      <c r="W16" s="136"/>
    </row>
    <row r="17" spans="1:26" ht="15">
      <c r="A17" s="254">
        <v>2.0099999999999998</v>
      </c>
      <c r="B17" s="155" t="s">
        <v>75</v>
      </c>
      <c r="C17" s="145">
        <v>3500</v>
      </c>
      <c r="D17" s="151">
        <v>1</v>
      </c>
      <c r="E17" s="147" t="s">
        <v>12</v>
      </c>
      <c r="F17" s="146">
        <f>ROUND(F13/2,0)</f>
        <v>1</v>
      </c>
      <c r="G17" s="213">
        <f t="shared" ref="G17" si="4">+C17*D17*F17</f>
        <v>3500</v>
      </c>
      <c r="H17" s="136"/>
      <c r="I17" s="136"/>
      <c r="J17" s="136"/>
      <c r="K17" s="136"/>
      <c r="L17" s="136"/>
      <c r="M17" s="136"/>
      <c r="N17" s="136"/>
      <c r="O17" s="136"/>
      <c r="P17" s="136"/>
      <c r="Q17" s="136"/>
      <c r="R17" s="136"/>
      <c r="S17" s="136"/>
      <c r="T17" s="136"/>
      <c r="U17" s="136"/>
      <c r="V17" s="136"/>
      <c r="W17" s="136"/>
    </row>
    <row r="18" spans="1:26" ht="15">
      <c r="A18" s="254">
        <v>2.02</v>
      </c>
      <c r="B18" s="155" t="s">
        <v>76</v>
      </c>
      <c r="C18" s="145">
        <v>5000</v>
      </c>
      <c r="D18" s="151">
        <v>1</v>
      </c>
      <c r="E18" s="147" t="s">
        <v>12</v>
      </c>
      <c r="F18" s="146">
        <v>1</v>
      </c>
      <c r="G18" s="213">
        <f t="shared" ref="G18:G20" si="5">+C18*D18*F18</f>
        <v>5000</v>
      </c>
      <c r="H18" s="136"/>
      <c r="I18" s="136"/>
      <c r="J18" s="136"/>
      <c r="K18" s="136"/>
      <c r="L18" s="136"/>
      <c r="M18" s="136"/>
      <c r="N18" s="136"/>
      <c r="O18" s="136"/>
      <c r="P18" s="136"/>
      <c r="Q18" s="136"/>
      <c r="R18" s="136"/>
      <c r="S18" s="136"/>
      <c r="T18" s="136"/>
      <c r="U18" s="136"/>
      <c r="V18" s="136"/>
      <c r="W18" s="136"/>
    </row>
    <row r="19" spans="1:26" ht="15">
      <c r="A19" s="254">
        <v>2.0299999999999998</v>
      </c>
      <c r="B19" s="155" t="s">
        <v>77</v>
      </c>
      <c r="C19" s="145">
        <v>5000</v>
      </c>
      <c r="D19" s="151">
        <v>1</v>
      </c>
      <c r="E19" s="147" t="s">
        <v>12</v>
      </c>
      <c r="F19" s="146">
        <v>1</v>
      </c>
      <c r="G19" s="213">
        <f t="shared" si="5"/>
        <v>5000</v>
      </c>
      <c r="H19" s="136"/>
      <c r="I19" s="136"/>
      <c r="J19" s="136"/>
      <c r="K19" s="136"/>
      <c r="L19" s="136"/>
      <c r="M19" s="136"/>
      <c r="N19" s="136"/>
      <c r="O19" s="136"/>
      <c r="P19" s="136"/>
      <c r="Q19" s="136"/>
      <c r="R19" s="136"/>
      <c r="S19" s="136"/>
      <c r="T19" s="136"/>
      <c r="U19" s="136"/>
      <c r="V19" s="136"/>
      <c r="W19" s="136"/>
    </row>
    <row r="20" spans="1:26" ht="15">
      <c r="A20" s="254">
        <v>2.04</v>
      </c>
      <c r="B20" s="155" t="s">
        <v>78</v>
      </c>
      <c r="C20" s="145">
        <v>5000</v>
      </c>
      <c r="D20" s="151">
        <v>1</v>
      </c>
      <c r="E20" s="147" t="s">
        <v>12</v>
      </c>
      <c r="F20" s="146">
        <v>1</v>
      </c>
      <c r="G20" s="213">
        <f t="shared" si="5"/>
        <v>5000</v>
      </c>
      <c r="H20" s="136"/>
      <c r="I20" s="136"/>
      <c r="J20" s="136"/>
      <c r="K20" s="136"/>
      <c r="L20" s="136"/>
      <c r="M20" s="136"/>
      <c r="N20" s="136"/>
      <c r="O20" s="136"/>
      <c r="P20" s="136"/>
      <c r="Q20" s="136"/>
      <c r="R20" s="136"/>
      <c r="S20" s="136"/>
      <c r="T20" s="136"/>
      <c r="U20" s="136"/>
      <c r="V20" s="136"/>
      <c r="W20" s="136"/>
    </row>
    <row r="21" spans="1:26" ht="15">
      <c r="A21" s="255"/>
      <c r="B21" s="156"/>
      <c r="C21" s="145"/>
      <c r="D21" s="151"/>
      <c r="E21" s="157"/>
      <c r="F21" s="146"/>
      <c r="G21" s="213"/>
      <c r="H21" s="136"/>
      <c r="I21" s="136"/>
      <c r="J21" s="136"/>
      <c r="K21" s="136"/>
      <c r="L21" s="136"/>
      <c r="M21" s="136"/>
      <c r="N21" s="136"/>
      <c r="O21" s="136"/>
      <c r="P21" s="136"/>
      <c r="Q21" s="136"/>
      <c r="R21" s="136"/>
      <c r="S21" s="136"/>
      <c r="T21" s="136"/>
      <c r="U21" s="136"/>
      <c r="V21" s="136"/>
      <c r="W21" s="136"/>
    </row>
    <row r="22" spans="1:26" ht="15">
      <c r="A22" s="255"/>
      <c r="B22" s="156">
        <v>219</v>
      </c>
      <c r="C22" s="145"/>
      <c r="D22" s="151"/>
      <c r="E22" s="157"/>
      <c r="F22" s="146"/>
      <c r="G22" s="213"/>
      <c r="H22" s="136"/>
      <c r="I22" s="136"/>
      <c r="J22" s="136"/>
      <c r="K22" s="136"/>
      <c r="L22" s="136"/>
      <c r="M22" s="136"/>
      <c r="N22" s="136"/>
      <c r="O22" s="136"/>
      <c r="P22" s="136"/>
      <c r="Q22" s="136"/>
      <c r="R22" s="136"/>
      <c r="S22" s="136"/>
      <c r="T22" s="136"/>
      <c r="U22" s="136"/>
      <c r="V22" s="136"/>
      <c r="W22" s="136"/>
    </row>
    <row r="23" spans="1:26" s="139" customFormat="1" ht="15">
      <c r="A23" s="258"/>
      <c r="B23" s="160" t="s">
        <v>22</v>
      </c>
      <c r="C23" s="160"/>
      <c r="D23" s="160"/>
      <c r="E23" s="160"/>
      <c r="F23" s="161"/>
      <c r="G23" s="215">
        <f>SUM(G11:G22)</f>
        <v>91780</v>
      </c>
      <c r="H23" s="162"/>
      <c r="L23" s="163"/>
    </row>
    <row r="24" spans="1:26" ht="15" thickBot="1">
      <c r="A24" s="255"/>
      <c r="B24" s="164" t="s">
        <v>79</v>
      </c>
      <c r="C24" s="164"/>
      <c r="D24" s="164"/>
      <c r="E24" s="164"/>
      <c r="F24" s="165"/>
      <c r="G24" s="217">
        <f>SUM(G25:G26)</f>
        <v>17510.351862224939</v>
      </c>
      <c r="H24" s="166"/>
    </row>
    <row r="25" spans="1:26" ht="15" thickBot="1">
      <c r="A25" s="255"/>
      <c r="B25" s="164" t="s">
        <v>80</v>
      </c>
      <c r="C25" s="164"/>
      <c r="D25" s="164"/>
      <c r="E25" s="164"/>
      <c r="F25" s="165"/>
      <c r="G25" s="217">
        <f>+G23*$I$25</f>
        <v>2747.5725223716381</v>
      </c>
      <c r="H25" s="167"/>
      <c r="I25" s="168">
        <f>GG!E11</f>
        <v>2.9936506018431445E-2</v>
      </c>
    </row>
    <row r="26" spans="1:26" ht="15" thickBot="1">
      <c r="A26" s="255"/>
      <c r="B26" s="164" t="s">
        <v>81</v>
      </c>
      <c r="C26" s="164"/>
      <c r="D26" s="164"/>
      <c r="E26" s="164"/>
      <c r="F26" s="165"/>
      <c r="G26" s="217">
        <f>+G23*$I$26</f>
        <v>14762.779339853301</v>
      </c>
      <c r="H26" s="167"/>
      <c r="I26" s="168">
        <f>GG!E10</f>
        <v>0.16084963325183374</v>
      </c>
    </row>
    <row r="27" spans="1:26">
      <c r="A27" s="255"/>
      <c r="B27" s="164" t="s">
        <v>82</v>
      </c>
      <c r="C27" s="169"/>
      <c r="D27" s="170"/>
      <c r="E27" s="170"/>
      <c r="F27" s="171"/>
      <c r="G27" s="217">
        <f>+G23*5%</f>
        <v>4589</v>
      </c>
      <c r="H27" s="167"/>
    </row>
    <row r="28" spans="1:26" ht="15">
      <c r="A28" s="266"/>
      <c r="B28" s="260" t="s">
        <v>24</v>
      </c>
      <c r="C28" s="260"/>
      <c r="D28" s="260"/>
      <c r="E28" s="260"/>
      <c r="F28" s="261"/>
      <c r="G28" s="267">
        <f>+G23+G24+G27</f>
        <v>113879.35186222494</v>
      </c>
      <c r="H28" s="167"/>
    </row>
    <row r="29" spans="1:26">
      <c r="C29" s="172"/>
      <c r="F29" s="173"/>
      <c r="G29" s="172"/>
      <c r="H29" s="167"/>
    </row>
    <row r="30" spans="1:26" ht="60">
      <c r="A30" s="248" t="s">
        <v>83</v>
      </c>
      <c r="B30" s="249" t="s">
        <v>84</v>
      </c>
      <c r="C30" s="250" t="s">
        <v>66</v>
      </c>
      <c r="D30" s="250" t="s">
        <v>5</v>
      </c>
      <c r="E30" s="250" t="s">
        <v>6</v>
      </c>
      <c r="F30" s="250" t="s">
        <v>7</v>
      </c>
      <c r="G30" s="251" t="s">
        <v>67</v>
      </c>
      <c r="H30" s="174"/>
    </row>
    <row r="31" spans="1:26" ht="35.450000000000003" customHeight="1">
      <c r="A31" s="252">
        <v>1</v>
      </c>
      <c r="B31" s="141" t="s">
        <v>10</v>
      </c>
      <c r="C31" s="172"/>
      <c r="F31" s="173"/>
      <c r="G31" s="253"/>
      <c r="H31" s="174"/>
    </row>
    <row r="32" spans="1:26" ht="15">
      <c r="A32" s="254">
        <f>+A31+0.01</f>
        <v>1.01</v>
      </c>
      <c r="B32" s="144" t="s">
        <v>69</v>
      </c>
      <c r="C32" s="145">
        <v>9000</v>
      </c>
      <c r="D32" s="146">
        <v>1</v>
      </c>
      <c r="E32" s="147" t="s">
        <v>12</v>
      </c>
      <c r="F32" s="146">
        <f>+ROUND(F87/30,2)</f>
        <v>3</v>
      </c>
      <c r="G32" s="213">
        <f>+C32*D32*F32</f>
        <v>27000</v>
      </c>
      <c r="H32" s="174"/>
      <c r="X32" s="134" t="s">
        <v>85</v>
      </c>
      <c r="Y32" s="134">
        <v>85</v>
      </c>
      <c r="Z32" s="134">
        <f>+Y32/30</f>
        <v>2.8333333333333335</v>
      </c>
    </row>
    <row r="33" spans="1:26" ht="15">
      <c r="A33" s="254">
        <f>+A32+0.01</f>
        <v>1.02</v>
      </c>
      <c r="B33" s="144" t="s">
        <v>71</v>
      </c>
      <c r="C33" s="145">
        <v>7000</v>
      </c>
      <c r="D33" s="146">
        <v>1</v>
      </c>
      <c r="E33" s="147" t="s">
        <v>12</v>
      </c>
      <c r="F33" s="146">
        <f>ROUND(F32,2)</f>
        <v>3</v>
      </c>
      <c r="G33" s="213">
        <f t="shared" ref="G33:G34" si="6">+C33*D33*F33</f>
        <v>21000</v>
      </c>
      <c r="H33" s="174"/>
      <c r="Z33" s="134">
        <f>+Y33/30</f>
        <v>0</v>
      </c>
    </row>
    <row r="34" spans="1:26" ht="15">
      <c r="A34" s="254">
        <f t="shared" ref="A34" si="7">+A33+0.01</f>
        <v>1.03</v>
      </c>
      <c r="B34" s="144" t="s">
        <v>72</v>
      </c>
      <c r="C34" s="145">
        <v>5000</v>
      </c>
      <c r="D34" s="146">
        <v>1</v>
      </c>
      <c r="E34" s="147" t="s">
        <v>12</v>
      </c>
      <c r="F34" s="146">
        <f>ROUND(F32/2,0)</f>
        <v>2</v>
      </c>
      <c r="G34" s="213">
        <f t="shared" si="6"/>
        <v>10000</v>
      </c>
      <c r="H34" s="174"/>
    </row>
    <row r="35" spans="1:26" ht="15">
      <c r="A35" s="255"/>
      <c r="B35" s="144"/>
      <c r="C35" s="175"/>
      <c r="D35" s="151"/>
      <c r="E35" s="149"/>
      <c r="F35" s="146"/>
      <c r="G35" s="256"/>
      <c r="H35" s="174"/>
    </row>
    <row r="36" spans="1:26" ht="15">
      <c r="A36" s="252">
        <v>2</v>
      </c>
      <c r="B36" s="153" t="s">
        <v>74</v>
      </c>
      <c r="C36" s="154"/>
      <c r="D36" s="151"/>
      <c r="E36" s="149"/>
      <c r="F36" s="146"/>
      <c r="G36" s="257"/>
      <c r="H36" s="136"/>
      <c r="I36" s="136"/>
      <c r="J36" s="136"/>
      <c r="K36" s="136"/>
      <c r="L36" s="136"/>
      <c r="N36" s="136"/>
      <c r="O36" s="136"/>
      <c r="P36" s="136"/>
      <c r="Q36" s="136"/>
      <c r="R36" s="136"/>
      <c r="S36" s="136"/>
      <c r="T36" s="136"/>
      <c r="U36" s="136"/>
      <c r="V36" s="136"/>
      <c r="W36" s="136"/>
    </row>
    <row r="37" spans="1:26" ht="15">
      <c r="A37" s="254">
        <v>2.0099999999999998</v>
      </c>
      <c r="B37" s="155" t="s">
        <v>75</v>
      </c>
      <c r="C37" s="145">
        <v>3500</v>
      </c>
      <c r="D37" s="151">
        <v>1</v>
      </c>
      <c r="E37" s="147" t="s">
        <v>12</v>
      </c>
      <c r="F37" s="146">
        <f>F34</f>
        <v>2</v>
      </c>
      <c r="G37" s="213">
        <f t="shared" ref="G37:G40" si="8">+C37*D37*F37</f>
        <v>7000</v>
      </c>
      <c r="H37" s="136"/>
      <c r="I37" s="136"/>
      <c r="J37" s="136"/>
      <c r="K37" s="136"/>
      <c r="L37" s="136"/>
      <c r="M37" s="136"/>
      <c r="N37" s="136"/>
      <c r="O37" s="136"/>
      <c r="P37" s="136"/>
      <c r="Q37" s="136"/>
      <c r="R37" s="136"/>
      <c r="S37" s="136"/>
      <c r="T37" s="136"/>
      <c r="U37" s="136"/>
      <c r="V37" s="136"/>
      <c r="W37" s="136"/>
    </row>
    <row r="38" spans="1:26" ht="15">
      <c r="A38" s="254">
        <v>2.02</v>
      </c>
      <c r="B38" s="155" t="s">
        <v>76</v>
      </c>
      <c r="C38" s="145">
        <v>5000</v>
      </c>
      <c r="D38" s="151">
        <v>1</v>
      </c>
      <c r="E38" s="147" t="s">
        <v>12</v>
      </c>
      <c r="F38" s="146">
        <v>0.5</v>
      </c>
      <c r="G38" s="213">
        <f t="shared" si="8"/>
        <v>2500</v>
      </c>
      <c r="H38" s="136"/>
      <c r="I38" s="136"/>
      <c r="J38" s="136"/>
      <c r="K38" s="136"/>
      <c r="L38" s="136"/>
      <c r="M38" s="136"/>
      <c r="N38" s="136"/>
      <c r="O38" s="136"/>
      <c r="P38" s="136"/>
      <c r="Q38" s="136"/>
      <c r="R38" s="136"/>
      <c r="S38" s="136"/>
      <c r="T38" s="136"/>
      <c r="U38" s="136"/>
      <c r="V38" s="136"/>
      <c r="W38" s="136"/>
    </row>
    <row r="39" spans="1:26" ht="15">
      <c r="A39" s="254">
        <v>2.0299999999999998</v>
      </c>
      <c r="B39" s="155" t="s">
        <v>77</v>
      </c>
      <c r="C39" s="145">
        <v>5000</v>
      </c>
      <c r="D39" s="151">
        <v>1</v>
      </c>
      <c r="E39" s="147" t="s">
        <v>12</v>
      </c>
      <c r="F39" s="146">
        <v>0.5</v>
      </c>
      <c r="G39" s="213">
        <f t="shared" si="8"/>
        <v>2500</v>
      </c>
      <c r="H39" s="136"/>
      <c r="I39" s="136"/>
      <c r="J39" s="136"/>
      <c r="K39" s="136"/>
      <c r="L39" s="136"/>
      <c r="M39" s="136"/>
      <c r="N39" s="136"/>
      <c r="O39" s="136"/>
      <c r="P39" s="136"/>
      <c r="Q39" s="136"/>
      <c r="R39" s="136"/>
      <c r="S39" s="136"/>
      <c r="T39" s="136"/>
      <c r="U39" s="136"/>
      <c r="V39" s="136"/>
      <c r="W39" s="136"/>
    </row>
    <row r="40" spans="1:26" ht="15">
      <c r="A40" s="254">
        <v>2.04</v>
      </c>
      <c r="B40" s="155" t="s">
        <v>78</v>
      </c>
      <c r="C40" s="145">
        <v>5000</v>
      </c>
      <c r="D40" s="151">
        <v>1</v>
      </c>
      <c r="E40" s="147" t="s">
        <v>12</v>
      </c>
      <c r="F40" s="146">
        <v>1</v>
      </c>
      <c r="G40" s="213">
        <f t="shared" si="8"/>
        <v>5000</v>
      </c>
      <c r="H40" s="136"/>
      <c r="I40" s="136"/>
      <c r="J40" s="136"/>
      <c r="K40" s="136"/>
      <c r="L40" s="136"/>
      <c r="M40" s="136"/>
      <c r="N40" s="136"/>
      <c r="O40" s="136"/>
      <c r="P40" s="136"/>
      <c r="Q40" s="136"/>
      <c r="R40" s="136"/>
      <c r="S40" s="136"/>
      <c r="T40" s="136"/>
      <c r="U40" s="136"/>
      <c r="V40" s="136"/>
      <c r="W40" s="136"/>
      <c r="X40" s="134" t="s">
        <v>70</v>
      </c>
      <c r="Y40" s="134">
        <v>135</v>
      </c>
      <c r="Z40" s="134">
        <f>+Y40/30</f>
        <v>4.5</v>
      </c>
    </row>
    <row r="41" spans="1:26">
      <c r="A41" s="255"/>
      <c r="B41" s="144"/>
      <c r="C41" s="145"/>
      <c r="D41" s="151"/>
      <c r="E41" s="157"/>
      <c r="F41" s="146"/>
      <c r="G41" s="213"/>
      <c r="H41" s="166"/>
    </row>
    <row r="42" spans="1:26" ht="15">
      <c r="A42" s="252">
        <v>3</v>
      </c>
      <c r="B42" s="158" t="s">
        <v>86</v>
      </c>
      <c r="C42" s="145"/>
      <c r="D42" s="151"/>
      <c r="E42" s="149"/>
      <c r="F42" s="146"/>
      <c r="G42" s="213"/>
      <c r="H42" s="166"/>
    </row>
    <row r="43" spans="1:26">
      <c r="A43" s="254">
        <f>+A42+0.01</f>
        <v>3.01</v>
      </c>
      <c r="B43" s="274" t="s">
        <v>87</v>
      </c>
      <c r="C43" s="145">
        <v>6000</v>
      </c>
      <c r="D43" s="151">
        <v>1</v>
      </c>
      <c r="E43" s="159" t="s">
        <v>20</v>
      </c>
      <c r="F43" s="146">
        <v>1</v>
      </c>
      <c r="G43" s="213">
        <f t="shared" ref="G43" si="9">+C43*D43*F43</f>
        <v>6000</v>
      </c>
      <c r="H43" s="166"/>
    </row>
    <row r="44" spans="1:26">
      <c r="A44" s="254">
        <f t="shared" ref="A44:A46" si="10">+A43+0.01</f>
        <v>3.0199999999999996</v>
      </c>
      <c r="B44" s="274" t="s">
        <v>88</v>
      </c>
      <c r="C44" s="145">
        <v>2500</v>
      </c>
      <c r="D44" s="151">
        <v>1</v>
      </c>
      <c r="E44" s="159" t="s">
        <v>20</v>
      </c>
      <c r="F44" s="146">
        <v>1</v>
      </c>
      <c r="G44" s="213">
        <f t="shared" ref="G44" si="11">+C44*D44*F44</f>
        <v>2500</v>
      </c>
      <c r="H44" s="166"/>
    </row>
    <row r="45" spans="1:26">
      <c r="A45" s="254">
        <f t="shared" si="10"/>
        <v>3.0299999999999994</v>
      </c>
      <c r="B45" s="274" t="s">
        <v>89</v>
      </c>
      <c r="C45" s="145">
        <v>2500</v>
      </c>
      <c r="D45" s="151">
        <v>1</v>
      </c>
      <c r="E45" s="159" t="s">
        <v>20</v>
      </c>
      <c r="F45" s="146">
        <v>1</v>
      </c>
      <c r="G45" s="213">
        <f t="shared" ref="G45" si="12">+C45*D45*F45</f>
        <v>2500</v>
      </c>
      <c r="H45" s="167"/>
    </row>
    <row r="46" spans="1:26" ht="71.25">
      <c r="A46" s="254">
        <f t="shared" si="10"/>
        <v>3.0399999999999991</v>
      </c>
      <c r="B46" s="274" t="s">
        <v>90</v>
      </c>
      <c r="C46" s="145">
        <v>20000</v>
      </c>
      <c r="D46" s="151">
        <v>1</v>
      </c>
      <c r="E46" s="159" t="s">
        <v>20</v>
      </c>
      <c r="F46" s="146">
        <v>1</v>
      </c>
      <c r="G46" s="213">
        <f t="shared" ref="G46:G47" si="13">+C46*D46*F46</f>
        <v>20000</v>
      </c>
      <c r="H46" s="174"/>
      <c r="I46" s="134">
        <f>800*24</f>
        <v>19200</v>
      </c>
      <c r="J46" s="134" t="s">
        <v>91</v>
      </c>
    </row>
    <row r="47" spans="1:26" ht="15" thickBot="1">
      <c r="A47" s="254">
        <f>A46+0.01</f>
        <v>3.0499999999999989</v>
      </c>
      <c r="B47" s="144" t="s">
        <v>92</v>
      </c>
      <c r="C47" s="145">
        <v>5000</v>
      </c>
      <c r="D47" s="151">
        <v>1</v>
      </c>
      <c r="E47" s="159" t="s">
        <v>20</v>
      </c>
      <c r="F47" s="146">
        <v>1</v>
      </c>
      <c r="G47" s="213">
        <f t="shared" si="13"/>
        <v>5000</v>
      </c>
      <c r="H47" s="166"/>
    </row>
    <row r="48" spans="1:26" ht="15" thickBot="1">
      <c r="A48" s="255">
        <v>3.07</v>
      </c>
      <c r="B48" s="144" t="s">
        <v>93</v>
      </c>
      <c r="C48" s="145">
        <v>4900</v>
      </c>
      <c r="D48" s="151">
        <v>1</v>
      </c>
      <c r="E48" s="159" t="s">
        <v>20</v>
      </c>
      <c r="F48" s="146">
        <v>1</v>
      </c>
      <c r="G48" s="213">
        <f t="shared" ref="G48" si="14">+C48*D48*F48</f>
        <v>4900</v>
      </c>
      <c r="H48" s="167"/>
      <c r="I48" s="168">
        <f>I25</f>
        <v>2.9936506018431445E-2</v>
      </c>
    </row>
    <row r="49" spans="1:20" s="139" customFormat="1" ht="15.75" thickBot="1">
      <c r="A49" s="255"/>
      <c r="B49" s="144"/>
      <c r="C49" s="154"/>
      <c r="D49" s="142"/>
      <c r="E49" s="142"/>
      <c r="F49" s="143"/>
      <c r="G49" s="257"/>
      <c r="H49" s="176"/>
      <c r="I49" s="168">
        <f>I26</f>
        <v>0.16084963325183374</v>
      </c>
    </row>
    <row r="50" spans="1:20" ht="15">
      <c r="A50" s="258"/>
      <c r="B50" s="160" t="s">
        <v>22</v>
      </c>
      <c r="C50" s="160"/>
      <c r="D50" s="160"/>
      <c r="E50" s="160"/>
      <c r="F50" s="161"/>
      <c r="G50" s="215">
        <f>SUM(G32:G49)</f>
        <v>115900</v>
      </c>
      <c r="H50" s="167"/>
    </row>
    <row r="51" spans="1:20" ht="22.5" customHeight="1">
      <c r="A51" s="255"/>
      <c r="B51" s="164" t="s">
        <v>79</v>
      </c>
      <c r="C51" s="164"/>
      <c r="D51" s="164"/>
      <c r="E51" s="164"/>
      <c r="F51" s="165"/>
      <c r="G51" s="217">
        <f>SUM(G52:G53)</f>
        <v>22112.113541423736</v>
      </c>
      <c r="H51" s="174"/>
    </row>
    <row r="52" spans="1:20" ht="20.25" customHeight="1">
      <c r="A52" s="255"/>
      <c r="B52" s="164" t="s">
        <v>80</v>
      </c>
      <c r="C52" s="164"/>
      <c r="D52" s="164"/>
      <c r="E52" s="164"/>
      <c r="F52" s="165"/>
      <c r="G52" s="217">
        <f>+G50*$I$48</f>
        <v>3469.6410475362045</v>
      </c>
      <c r="H52" s="166"/>
    </row>
    <row r="53" spans="1:20" s="139" customFormat="1" ht="18" customHeight="1">
      <c r="A53" s="255"/>
      <c r="B53" s="164" t="s">
        <v>81</v>
      </c>
      <c r="C53" s="164"/>
      <c r="D53" s="164"/>
      <c r="E53" s="164"/>
      <c r="F53" s="165"/>
      <c r="G53" s="217">
        <f>+G50*$I$49</f>
        <v>18642.47249388753</v>
      </c>
      <c r="H53" s="200"/>
      <c r="I53" s="201"/>
    </row>
    <row r="54" spans="1:20" ht="18" customHeight="1">
      <c r="A54" s="255"/>
      <c r="B54" s="164" t="s">
        <v>82</v>
      </c>
      <c r="C54" s="169"/>
      <c r="D54" s="170"/>
      <c r="E54" s="170"/>
      <c r="F54" s="171"/>
      <c r="G54" s="217">
        <f>+G50*5%</f>
        <v>5795</v>
      </c>
      <c r="H54" s="202"/>
      <c r="I54" s="203"/>
    </row>
    <row r="55" spans="1:20" ht="21.75" customHeight="1">
      <c r="A55" s="259"/>
      <c r="B55" s="260" t="s">
        <v>24</v>
      </c>
      <c r="C55" s="260"/>
      <c r="D55" s="260"/>
      <c r="E55" s="260"/>
      <c r="F55" s="261"/>
      <c r="G55" s="262">
        <f>+G50+G51+G54</f>
        <v>143807.11354142375</v>
      </c>
      <c r="H55" s="202"/>
      <c r="I55" s="203"/>
    </row>
    <row r="56" spans="1:20" ht="18" customHeight="1" thickBot="1">
      <c r="F56" s="177"/>
      <c r="H56" s="202"/>
      <c r="I56" s="203"/>
    </row>
    <row r="57" spans="1:20" ht="69" customHeight="1" thickBot="1">
      <c r="A57" s="197" t="s">
        <v>94</v>
      </c>
      <c r="B57" s="198" t="s">
        <v>95</v>
      </c>
      <c r="C57" s="199" t="s">
        <v>66</v>
      </c>
      <c r="D57" s="199" t="s">
        <v>5</v>
      </c>
      <c r="E57" s="199" t="s">
        <v>6</v>
      </c>
      <c r="F57" s="199" t="s">
        <v>7</v>
      </c>
      <c r="G57" s="199" t="s">
        <v>67</v>
      </c>
      <c r="H57" s="202"/>
      <c r="I57" s="204">
        <f>+I48</f>
        <v>2.9936506018431445E-2</v>
      </c>
      <c r="K57" s="303"/>
      <c r="L57" s="303"/>
      <c r="M57" s="303"/>
      <c r="N57" s="303"/>
    </row>
    <row r="58" spans="1:20" s="139" customFormat="1" ht="20.25" customHeight="1" thickBot="1">
      <c r="A58" s="152">
        <v>1</v>
      </c>
      <c r="B58" s="144" t="s">
        <v>96</v>
      </c>
      <c r="C58" s="273">
        <v>5000</v>
      </c>
      <c r="D58" s="151">
        <v>1</v>
      </c>
      <c r="E58" s="159" t="s">
        <v>20</v>
      </c>
      <c r="F58" s="146">
        <v>1</v>
      </c>
      <c r="G58" s="145">
        <f>+C58*D58*F58</f>
        <v>5000</v>
      </c>
      <c r="H58" s="205"/>
      <c r="I58" s="204">
        <f>+I49</f>
        <v>0.16084963325183374</v>
      </c>
    </row>
    <row r="59" spans="1:20" s="139" customFormat="1" ht="19.5" customHeight="1">
      <c r="A59" s="223"/>
      <c r="B59" s="214" t="s">
        <v>22</v>
      </c>
      <c r="C59" s="192"/>
      <c r="D59" s="192"/>
      <c r="E59" s="192"/>
      <c r="F59" s="193"/>
      <c r="G59" s="215">
        <f>SUM(G58:G58)</f>
        <v>5000</v>
      </c>
      <c r="H59" s="201"/>
      <c r="I59" s="201"/>
    </row>
    <row r="60" spans="1:20" ht="12.75" customHeight="1">
      <c r="A60" s="224"/>
      <c r="B60" s="216" t="s">
        <v>79</v>
      </c>
      <c r="C60" s="170"/>
      <c r="D60" s="170"/>
      <c r="E60" s="170"/>
      <c r="F60" s="171"/>
      <c r="G60" s="217">
        <f>SUM(G61:G62)</f>
        <v>953.93069635132588</v>
      </c>
      <c r="H60" s="206"/>
      <c r="I60" s="203"/>
    </row>
    <row r="61" spans="1:20">
      <c r="A61" s="224"/>
      <c r="B61" s="216" t="s">
        <v>80</v>
      </c>
      <c r="C61" s="170"/>
      <c r="D61" s="170"/>
      <c r="E61" s="170"/>
      <c r="F61" s="171"/>
      <c r="G61" s="217">
        <f>+G59*$I$57</f>
        <v>149.68253009215724</v>
      </c>
      <c r="H61" s="166"/>
    </row>
    <row r="62" spans="1:20">
      <c r="A62" s="224"/>
      <c r="B62" s="216" t="s">
        <v>81</v>
      </c>
      <c r="C62" s="170"/>
      <c r="D62" s="170"/>
      <c r="E62" s="170"/>
      <c r="F62" s="171"/>
      <c r="G62" s="217">
        <f>+G59*$I$58</f>
        <v>804.24816625916867</v>
      </c>
      <c r="H62" s="166"/>
    </row>
    <row r="63" spans="1:20" s="139" customFormat="1" ht="15">
      <c r="A63" s="224"/>
      <c r="B63" s="216" t="s">
        <v>82</v>
      </c>
      <c r="C63" s="170"/>
      <c r="D63" s="170"/>
      <c r="E63" s="170"/>
      <c r="F63" s="171"/>
      <c r="G63" s="217">
        <f>+G59*5%</f>
        <v>250</v>
      </c>
      <c r="H63" s="162"/>
      <c r="I63" s="139">
        <f>+G23/(G71+G50+G23)</f>
        <v>0.44192989214175654</v>
      </c>
      <c r="S63" s="139" t="s">
        <v>97</v>
      </c>
      <c r="T63" s="182">
        <f>+G71+G50+G23</f>
        <v>207680</v>
      </c>
    </row>
    <row r="64" spans="1:20" ht="15">
      <c r="A64" s="223"/>
      <c r="B64" s="214" t="s">
        <v>24</v>
      </c>
      <c r="C64" s="192"/>
      <c r="D64" s="192"/>
      <c r="E64" s="192"/>
      <c r="F64" s="193"/>
      <c r="G64" s="215">
        <f>+G59+G60+G63</f>
        <v>6203.9306963513263</v>
      </c>
      <c r="H64" s="167"/>
      <c r="S64" s="134" t="s">
        <v>98</v>
      </c>
      <c r="T64" s="271">
        <f>+G23/T63</f>
        <v>0.44192989214175654</v>
      </c>
    </row>
    <row r="65" spans="1:20" ht="15">
      <c r="A65" s="133"/>
      <c r="B65" s="139"/>
      <c r="C65" s="139"/>
      <c r="D65" s="139"/>
      <c r="E65" s="139"/>
      <c r="F65" s="139"/>
      <c r="G65" s="139"/>
      <c r="H65" s="167"/>
      <c r="S65" s="134" t="s">
        <v>85</v>
      </c>
      <c r="T65" s="271">
        <f>G50/T63</f>
        <v>0.5580701078582434</v>
      </c>
    </row>
    <row r="66" spans="1:20" ht="57.75" hidden="1">
      <c r="A66" s="138" t="s">
        <v>94</v>
      </c>
      <c r="B66" s="225" t="s">
        <v>51</v>
      </c>
      <c r="C66" s="226" t="s">
        <v>66</v>
      </c>
      <c r="D66" s="226" t="s">
        <v>5</v>
      </c>
      <c r="E66" s="226" t="s">
        <v>6</v>
      </c>
      <c r="F66" s="226" t="s">
        <v>7</v>
      </c>
      <c r="G66" s="226" t="s">
        <v>67</v>
      </c>
      <c r="H66" s="167"/>
      <c r="S66" s="134" t="s">
        <v>99</v>
      </c>
      <c r="T66" s="271">
        <f>+G67/T63</f>
        <v>0</v>
      </c>
    </row>
    <row r="67" spans="1:20" hidden="1">
      <c r="A67" s="222"/>
      <c r="B67" s="207"/>
      <c r="C67" s="272"/>
      <c r="D67" s="208"/>
      <c r="E67" s="209"/>
      <c r="F67" s="210"/>
      <c r="G67" s="211"/>
      <c r="H67" s="167"/>
      <c r="S67" s="134" t="s">
        <v>100</v>
      </c>
      <c r="T67" s="271">
        <f>G68/T63</f>
        <v>0</v>
      </c>
    </row>
    <row r="68" spans="1:20" hidden="1" thickBot="1">
      <c r="A68" s="222"/>
      <c r="B68" s="212"/>
      <c r="C68" s="268"/>
      <c r="D68" s="151"/>
      <c r="E68" s="159"/>
      <c r="F68" s="146"/>
      <c r="G68" s="213"/>
      <c r="H68" s="167"/>
    </row>
    <row r="69" spans="1:20" hidden="1" thickBot="1">
      <c r="A69" s="222"/>
      <c r="B69" s="212"/>
      <c r="C69" s="268"/>
      <c r="D69" s="151"/>
      <c r="E69" s="159"/>
      <c r="F69" s="146"/>
      <c r="G69" s="213"/>
      <c r="H69" s="167"/>
      <c r="I69" s="168">
        <f>I48</f>
        <v>2.9936506018431445E-2</v>
      </c>
    </row>
    <row r="70" spans="1:20" s="139" customFormat="1" ht="15" hidden="1" thickBot="1">
      <c r="A70" s="222"/>
      <c r="B70" s="212"/>
      <c r="C70" s="268"/>
      <c r="D70" s="151"/>
      <c r="E70" s="159"/>
      <c r="F70" s="146"/>
      <c r="G70" s="213"/>
      <c r="H70" s="176"/>
      <c r="I70" s="168">
        <f>I49</f>
        <v>0.16084963325183374</v>
      </c>
    </row>
    <row r="71" spans="1:20" ht="15" hidden="1">
      <c r="A71" s="223"/>
      <c r="B71" s="214" t="s">
        <v>22</v>
      </c>
      <c r="C71" s="192"/>
      <c r="D71" s="192"/>
      <c r="E71" s="192"/>
      <c r="F71" s="193"/>
      <c r="G71" s="215">
        <f>SUM(G67:G68)</f>
        <v>0</v>
      </c>
      <c r="H71" s="167"/>
    </row>
    <row r="72" spans="1:20" hidden="1">
      <c r="A72" s="224"/>
      <c r="B72" s="216" t="s">
        <v>79</v>
      </c>
      <c r="C72" s="170"/>
      <c r="D72" s="170"/>
      <c r="E72" s="170"/>
      <c r="F72" s="171"/>
      <c r="G72" s="217">
        <f>SUM(G73:G74)</f>
        <v>0</v>
      </c>
      <c r="H72" s="167"/>
    </row>
    <row r="73" spans="1:20" ht="15" hidden="1">
      <c r="A73" s="224"/>
      <c r="B73" s="216" t="s">
        <v>80</v>
      </c>
      <c r="C73" s="170"/>
      <c r="D73" s="170"/>
      <c r="E73" s="170"/>
      <c r="F73" s="171"/>
      <c r="G73" s="217">
        <f>+G71*$I$69</f>
        <v>0</v>
      </c>
      <c r="H73" s="167"/>
      <c r="I73" s="139"/>
      <c r="J73" s="139"/>
      <c r="K73" s="139"/>
      <c r="L73" s="139"/>
      <c r="M73" s="139"/>
      <c r="N73" s="139"/>
      <c r="O73" s="139"/>
    </row>
    <row r="74" spans="1:20" ht="15" hidden="1">
      <c r="A74" s="224"/>
      <c r="B74" s="216" t="s">
        <v>81</v>
      </c>
      <c r="C74" s="170"/>
      <c r="D74" s="170"/>
      <c r="E74" s="170"/>
      <c r="F74" s="171"/>
      <c r="G74" s="217">
        <f>+G71*$I$70</f>
        <v>0</v>
      </c>
      <c r="H74" s="167"/>
      <c r="I74" s="139"/>
      <c r="J74" s="139"/>
      <c r="K74" s="139"/>
      <c r="L74" s="139"/>
      <c r="M74" s="139"/>
      <c r="N74" s="139"/>
      <c r="O74" s="139"/>
    </row>
    <row r="75" spans="1:20" ht="15" hidden="1">
      <c r="A75" s="224"/>
      <c r="B75" s="216" t="s">
        <v>82</v>
      </c>
      <c r="C75" s="170"/>
      <c r="D75" s="170"/>
      <c r="E75" s="170"/>
      <c r="F75" s="171"/>
      <c r="G75" s="217">
        <f>+G71*5%</f>
        <v>0</v>
      </c>
      <c r="H75" s="167"/>
      <c r="I75" s="139"/>
      <c r="J75" s="139"/>
      <c r="K75" s="139"/>
      <c r="L75" s="182"/>
      <c r="M75" s="139"/>
      <c r="N75" s="139"/>
      <c r="O75" s="139"/>
    </row>
    <row r="76" spans="1:20" ht="15" hidden="1">
      <c r="A76" s="223"/>
      <c r="B76" s="218" t="s">
        <v>24</v>
      </c>
      <c r="C76" s="219"/>
      <c r="D76" s="219"/>
      <c r="E76" s="219"/>
      <c r="F76" s="220"/>
      <c r="G76" s="221">
        <f>+G71+G72+G75</f>
        <v>0</v>
      </c>
      <c r="H76" s="167"/>
      <c r="I76" s="139"/>
      <c r="J76" s="139"/>
      <c r="K76" s="139"/>
      <c r="L76" s="139"/>
      <c r="M76" s="139"/>
      <c r="N76" s="139"/>
      <c r="O76" s="139"/>
    </row>
    <row r="77" spans="1:20" ht="15" hidden="1">
      <c r="F77" s="177"/>
      <c r="H77" s="176"/>
      <c r="I77" s="139"/>
      <c r="J77" s="176"/>
      <c r="K77" s="139"/>
      <c r="L77" s="139"/>
      <c r="M77" s="139"/>
      <c r="N77" s="139"/>
      <c r="O77" s="139"/>
    </row>
    <row r="78" spans="1:20" ht="15">
      <c r="F78" s="177"/>
      <c r="I78" s="139"/>
      <c r="J78" s="139"/>
      <c r="K78" s="139"/>
      <c r="L78" s="139"/>
      <c r="M78" s="139"/>
      <c r="N78" s="139"/>
      <c r="O78" s="139"/>
    </row>
    <row r="79" spans="1:20" s="139" customFormat="1" ht="15">
      <c r="A79" s="194"/>
      <c r="B79" s="178" t="s">
        <v>101</v>
      </c>
      <c r="C79" s="179"/>
      <c r="D79" s="179"/>
      <c r="E79" s="179"/>
      <c r="F79" s="180"/>
      <c r="G79" s="181">
        <f>+G28</f>
        <v>113879.35186222494</v>
      </c>
    </row>
    <row r="80" spans="1:20" ht="15">
      <c r="B80" s="178" t="s">
        <v>102</v>
      </c>
      <c r="C80" s="179"/>
      <c r="D80" s="179"/>
      <c r="E80" s="179"/>
      <c r="F80" s="180"/>
      <c r="G80" s="181">
        <f>+G55</f>
        <v>143807.11354142375</v>
      </c>
      <c r="H80" s="139"/>
      <c r="I80" s="139"/>
      <c r="J80" s="139"/>
      <c r="K80" s="139"/>
      <c r="L80" s="139"/>
      <c r="M80" s="139"/>
      <c r="N80" s="139"/>
      <c r="O80" s="139"/>
    </row>
    <row r="81" spans="1:23" ht="15">
      <c r="B81" s="178" t="s">
        <v>103</v>
      </c>
      <c r="C81" s="179"/>
      <c r="D81" s="179"/>
      <c r="E81" s="179"/>
      <c r="F81" s="180"/>
      <c r="G81" s="181">
        <f>+G76</f>
        <v>0</v>
      </c>
      <c r="H81" s="139"/>
      <c r="I81" s="139"/>
      <c r="J81" s="139"/>
      <c r="K81" s="139"/>
      <c r="L81" s="139"/>
      <c r="M81" s="139"/>
      <c r="N81" s="139"/>
      <c r="O81" s="139"/>
    </row>
    <row r="82" spans="1:23" ht="15">
      <c r="A82" s="195"/>
      <c r="B82" s="178" t="s">
        <v>104</v>
      </c>
      <c r="C82" s="179"/>
      <c r="D82" s="179"/>
      <c r="E82" s="179"/>
      <c r="F82" s="180"/>
      <c r="G82" s="183">
        <f>SUM(G79:G81)</f>
        <v>257686.46540364868</v>
      </c>
      <c r="H82" s="139"/>
      <c r="I82" s="139"/>
    </row>
    <row r="83" spans="1:23" ht="15">
      <c r="A83" s="195"/>
      <c r="B83" s="184" t="s">
        <v>105</v>
      </c>
      <c r="C83" s="185"/>
      <c r="D83" s="185"/>
      <c r="E83" s="185"/>
      <c r="F83" s="186"/>
      <c r="G83" s="187">
        <f>+G82*1.18</f>
        <v>304070.0291763054</v>
      </c>
    </row>
    <row r="84" spans="1:23" ht="15">
      <c r="H84" s="136"/>
      <c r="I84" s="136"/>
      <c r="J84" s="136"/>
      <c r="K84" s="136"/>
      <c r="L84" s="136"/>
      <c r="M84" s="136"/>
      <c r="N84" s="136"/>
      <c r="O84" s="136"/>
      <c r="P84" s="136"/>
      <c r="Q84" s="136"/>
      <c r="R84" s="136"/>
      <c r="S84" s="136"/>
      <c r="T84" s="136"/>
      <c r="U84" s="136"/>
      <c r="V84" s="136"/>
      <c r="W84" s="136"/>
    </row>
    <row r="85" spans="1:23" ht="15">
      <c r="A85" s="133"/>
      <c r="B85" s="188" t="s">
        <v>106</v>
      </c>
      <c r="C85" s="139"/>
      <c r="D85" s="139"/>
      <c r="E85" s="139"/>
      <c r="F85" s="139">
        <f>SUM(F86:F88)</f>
        <v>200</v>
      </c>
      <c r="G85" s="189" t="s">
        <v>27</v>
      </c>
    </row>
    <row r="86" spans="1:23" ht="15">
      <c r="B86" s="188" t="s">
        <v>107</v>
      </c>
      <c r="F86" s="190">
        <v>100</v>
      </c>
      <c r="G86" s="177" t="s">
        <v>27</v>
      </c>
    </row>
    <row r="87" spans="1:23" ht="15">
      <c r="B87" s="188" t="s">
        <v>108</v>
      </c>
      <c r="F87" s="134">
        <v>90</v>
      </c>
      <c r="G87" s="177" t="s">
        <v>27</v>
      </c>
    </row>
    <row r="88" spans="1:23" ht="15">
      <c r="B88" s="188" t="s">
        <v>109</v>
      </c>
      <c r="F88" s="134">
        <v>10</v>
      </c>
      <c r="G88" s="177" t="s">
        <v>27</v>
      </c>
    </row>
    <row r="90" spans="1:23">
      <c r="B90" s="134" t="s">
        <v>110</v>
      </c>
    </row>
    <row r="109" spans="51:53" ht="15">
      <c r="AY109" s="269">
        <v>40162</v>
      </c>
      <c r="AZ109" s="269">
        <v>40224</v>
      </c>
      <c r="BA109" s="270">
        <f t="shared" ref="BA109" si="15">(AZ109-AY109)+1</f>
        <v>63</v>
      </c>
    </row>
  </sheetData>
  <mergeCells count="3">
    <mergeCell ref="B1:G1"/>
    <mergeCell ref="A2:G2"/>
    <mergeCell ref="K57:N57"/>
  </mergeCells>
  <pageMargins left="0.70866141732283472" right="0.70866141732283472" top="0.74803149606299213" bottom="0.74803149606299213" header="0.31496062992125984" footer="0.31496062992125984"/>
  <pageSetup paperSize="9" scale="64" fitToHeight="0" orientation="portrait" r:id="rId1"/>
  <rowBreaks count="1" manualBreakCount="1">
    <brk id="5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S50"/>
  <sheetViews>
    <sheetView view="pageBreakPreview" zoomScaleNormal="100" zoomScaleSheetLayoutView="100" workbookViewId="0">
      <selection activeCell="F39" sqref="F39"/>
    </sheetView>
  </sheetViews>
  <sheetFormatPr defaultColWidth="11.42578125" defaultRowHeight="12.75"/>
  <cols>
    <col min="1" max="1" width="2.28515625" style="32" customWidth="1"/>
    <col min="2" max="2" width="13.28515625" style="32" customWidth="1"/>
    <col min="3" max="3" width="57.7109375" style="32" customWidth="1"/>
    <col min="4" max="4" width="12.7109375" style="32" customWidth="1"/>
    <col min="5" max="5" width="10.85546875" style="32" customWidth="1"/>
    <col min="6" max="6" width="13.85546875" style="32" customWidth="1"/>
    <col min="7" max="7" width="16.5703125" style="32" customWidth="1"/>
    <col min="8" max="8" width="4.7109375" style="55" hidden="1" customWidth="1"/>
    <col min="9" max="9" width="5.28515625" style="32" hidden="1" customWidth="1"/>
    <col min="10" max="10" width="4" style="32" hidden="1" customWidth="1"/>
    <col min="11" max="11" width="32.28515625" style="32" hidden="1" customWidth="1"/>
    <col min="12" max="12" width="9.5703125" style="32" hidden="1" customWidth="1"/>
    <col min="13" max="13" width="15.7109375" style="32" hidden="1" customWidth="1"/>
    <col min="14" max="14" width="17.7109375" style="32" hidden="1" customWidth="1"/>
    <col min="15" max="15" width="16.42578125" style="32" hidden="1" customWidth="1"/>
    <col min="16" max="16" width="16.140625" style="32" hidden="1" customWidth="1"/>
    <col min="17" max="17" width="11.42578125" style="32" hidden="1" customWidth="1"/>
    <col min="18" max="18" width="10.7109375" style="32" hidden="1" customWidth="1"/>
    <col min="19" max="21" width="11.42578125" style="32" customWidth="1"/>
    <col min="22" max="256" width="11.5703125" style="32"/>
    <col min="257" max="257" width="4.140625" style="32" customWidth="1"/>
    <col min="258" max="258" width="15.5703125" style="32" customWidth="1"/>
    <col min="259" max="259" width="46.42578125" style="32" customWidth="1"/>
    <col min="260" max="260" width="18.28515625" style="32" customWidth="1"/>
    <col min="261" max="261" width="15" style="32" customWidth="1"/>
    <col min="262" max="262" width="15.42578125" style="32" customWidth="1"/>
    <col min="263" max="263" width="17.42578125" style="32" customWidth="1"/>
    <col min="264" max="264" width="5.5703125" style="32" customWidth="1"/>
    <col min="265" max="265" width="5.28515625" style="32" customWidth="1"/>
    <col min="266" max="266" width="4" style="32" customWidth="1"/>
    <col min="267" max="267" width="16.42578125" style="32" customWidth="1"/>
    <col min="268" max="268" width="9.5703125" style="32" customWidth="1"/>
    <col min="269" max="269" width="17.85546875" style="32" customWidth="1"/>
    <col min="270" max="271" width="18.28515625" style="32" customWidth="1"/>
    <col min="272" max="272" width="13.5703125" style="32" customWidth="1"/>
    <col min="273" max="512" width="11.5703125" style="32"/>
    <col min="513" max="513" width="4.140625" style="32" customWidth="1"/>
    <col min="514" max="514" width="15.5703125" style="32" customWidth="1"/>
    <col min="515" max="515" width="46.42578125" style="32" customWidth="1"/>
    <col min="516" max="516" width="18.28515625" style="32" customWidth="1"/>
    <col min="517" max="517" width="15" style="32" customWidth="1"/>
    <col min="518" max="518" width="15.42578125" style="32" customWidth="1"/>
    <col min="519" max="519" width="17.42578125" style="32" customWidth="1"/>
    <col min="520" max="520" width="5.5703125" style="32" customWidth="1"/>
    <col min="521" max="521" width="5.28515625" style="32" customWidth="1"/>
    <col min="522" max="522" width="4" style="32" customWidth="1"/>
    <col min="523" max="523" width="16.42578125" style="32" customWidth="1"/>
    <col min="524" max="524" width="9.5703125" style="32" customWidth="1"/>
    <col min="525" max="525" width="17.85546875" style="32" customWidth="1"/>
    <col min="526" max="527" width="18.28515625" style="32" customWidth="1"/>
    <col min="528" max="528" width="13.5703125" style="32" customWidth="1"/>
    <col min="529" max="768" width="11.5703125" style="32"/>
    <col min="769" max="769" width="4.140625" style="32" customWidth="1"/>
    <col min="770" max="770" width="15.5703125" style="32" customWidth="1"/>
    <col min="771" max="771" width="46.42578125" style="32" customWidth="1"/>
    <col min="772" max="772" width="18.28515625" style="32" customWidth="1"/>
    <col min="773" max="773" width="15" style="32" customWidth="1"/>
    <col min="774" max="774" width="15.42578125" style="32" customWidth="1"/>
    <col min="775" max="775" width="17.42578125" style="32" customWidth="1"/>
    <col min="776" max="776" width="5.5703125" style="32" customWidth="1"/>
    <col min="777" max="777" width="5.28515625" style="32" customWidth="1"/>
    <col min="778" max="778" width="4" style="32" customWidth="1"/>
    <col min="779" max="779" width="16.42578125" style="32" customWidth="1"/>
    <col min="780" max="780" width="9.5703125" style="32" customWidth="1"/>
    <col min="781" max="781" width="17.85546875" style="32" customWidth="1"/>
    <col min="782" max="783" width="18.28515625" style="32" customWidth="1"/>
    <col min="784" max="784" width="13.5703125" style="32" customWidth="1"/>
    <col min="785" max="1024" width="11.5703125" style="32"/>
    <col min="1025" max="1025" width="4.140625" style="32" customWidth="1"/>
    <col min="1026" max="1026" width="15.5703125" style="32" customWidth="1"/>
    <col min="1027" max="1027" width="46.42578125" style="32" customWidth="1"/>
    <col min="1028" max="1028" width="18.28515625" style="32" customWidth="1"/>
    <col min="1029" max="1029" width="15" style="32" customWidth="1"/>
    <col min="1030" max="1030" width="15.42578125" style="32" customWidth="1"/>
    <col min="1031" max="1031" width="17.42578125" style="32" customWidth="1"/>
    <col min="1032" max="1032" width="5.5703125" style="32" customWidth="1"/>
    <col min="1033" max="1033" width="5.28515625" style="32" customWidth="1"/>
    <col min="1034" max="1034" width="4" style="32" customWidth="1"/>
    <col min="1035" max="1035" width="16.42578125" style="32" customWidth="1"/>
    <col min="1036" max="1036" width="9.5703125" style="32" customWidth="1"/>
    <col min="1037" max="1037" width="17.85546875" style="32" customWidth="1"/>
    <col min="1038" max="1039" width="18.28515625" style="32" customWidth="1"/>
    <col min="1040" max="1040" width="13.5703125" style="32" customWidth="1"/>
    <col min="1041" max="1280" width="11.5703125" style="32"/>
    <col min="1281" max="1281" width="4.140625" style="32" customWidth="1"/>
    <col min="1282" max="1282" width="15.5703125" style="32" customWidth="1"/>
    <col min="1283" max="1283" width="46.42578125" style="32" customWidth="1"/>
    <col min="1284" max="1284" width="18.28515625" style="32" customWidth="1"/>
    <col min="1285" max="1285" width="15" style="32" customWidth="1"/>
    <col min="1286" max="1286" width="15.42578125" style="32" customWidth="1"/>
    <col min="1287" max="1287" width="17.42578125" style="32" customWidth="1"/>
    <col min="1288" max="1288" width="5.5703125" style="32" customWidth="1"/>
    <col min="1289" max="1289" width="5.28515625" style="32" customWidth="1"/>
    <col min="1290" max="1290" width="4" style="32" customWidth="1"/>
    <col min="1291" max="1291" width="16.42578125" style="32" customWidth="1"/>
    <col min="1292" max="1292" width="9.5703125" style="32" customWidth="1"/>
    <col min="1293" max="1293" width="17.85546875" style="32" customWidth="1"/>
    <col min="1294" max="1295" width="18.28515625" style="32" customWidth="1"/>
    <col min="1296" max="1296" width="13.5703125" style="32" customWidth="1"/>
    <col min="1297" max="1536" width="11.5703125" style="32"/>
    <col min="1537" max="1537" width="4.140625" style="32" customWidth="1"/>
    <col min="1538" max="1538" width="15.5703125" style="32" customWidth="1"/>
    <col min="1539" max="1539" width="46.42578125" style="32" customWidth="1"/>
    <col min="1540" max="1540" width="18.28515625" style="32" customWidth="1"/>
    <col min="1541" max="1541" width="15" style="32" customWidth="1"/>
    <col min="1542" max="1542" width="15.42578125" style="32" customWidth="1"/>
    <col min="1543" max="1543" width="17.42578125" style="32" customWidth="1"/>
    <col min="1544" max="1544" width="5.5703125" style="32" customWidth="1"/>
    <col min="1545" max="1545" width="5.28515625" style="32" customWidth="1"/>
    <col min="1546" max="1546" width="4" style="32" customWidth="1"/>
    <col min="1547" max="1547" width="16.42578125" style="32" customWidth="1"/>
    <col min="1548" max="1548" width="9.5703125" style="32" customWidth="1"/>
    <col min="1549" max="1549" width="17.85546875" style="32" customWidth="1"/>
    <col min="1550" max="1551" width="18.28515625" style="32" customWidth="1"/>
    <col min="1552" max="1552" width="13.5703125" style="32" customWidth="1"/>
    <col min="1553" max="1792" width="11.5703125" style="32"/>
    <col min="1793" max="1793" width="4.140625" style="32" customWidth="1"/>
    <col min="1794" max="1794" width="15.5703125" style="32" customWidth="1"/>
    <col min="1795" max="1795" width="46.42578125" style="32" customWidth="1"/>
    <col min="1796" max="1796" width="18.28515625" style="32" customWidth="1"/>
    <col min="1797" max="1797" width="15" style="32" customWidth="1"/>
    <col min="1798" max="1798" width="15.42578125" style="32" customWidth="1"/>
    <col min="1799" max="1799" width="17.42578125" style="32" customWidth="1"/>
    <col min="1800" max="1800" width="5.5703125" style="32" customWidth="1"/>
    <col min="1801" max="1801" width="5.28515625" style="32" customWidth="1"/>
    <col min="1802" max="1802" width="4" style="32" customWidth="1"/>
    <col min="1803" max="1803" width="16.42578125" style="32" customWidth="1"/>
    <col min="1804" max="1804" width="9.5703125" style="32" customWidth="1"/>
    <col min="1805" max="1805" width="17.85546875" style="32" customWidth="1"/>
    <col min="1806" max="1807" width="18.28515625" style="32" customWidth="1"/>
    <col min="1808" max="1808" width="13.5703125" style="32" customWidth="1"/>
    <col min="1809" max="2048" width="11.5703125" style="32"/>
    <col min="2049" max="2049" width="4.140625" style="32" customWidth="1"/>
    <col min="2050" max="2050" width="15.5703125" style="32" customWidth="1"/>
    <col min="2051" max="2051" width="46.42578125" style="32" customWidth="1"/>
    <col min="2052" max="2052" width="18.28515625" style="32" customWidth="1"/>
    <col min="2053" max="2053" width="15" style="32" customWidth="1"/>
    <col min="2054" max="2054" width="15.42578125" style="32" customWidth="1"/>
    <col min="2055" max="2055" width="17.42578125" style="32" customWidth="1"/>
    <col min="2056" max="2056" width="5.5703125" style="32" customWidth="1"/>
    <col min="2057" max="2057" width="5.28515625" style="32" customWidth="1"/>
    <col min="2058" max="2058" width="4" style="32" customWidth="1"/>
    <col min="2059" max="2059" width="16.42578125" style="32" customWidth="1"/>
    <col min="2060" max="2060" width="9.5703125" style="32" customWidth="1"/>
    <col min="2061" max="2061" width="17.85546875" style="32" customWidth="1"/>
    <col min="2062" max="2063" width="18.28515625" style="32" customWidth="1"/>
    <col min="2064" max="2064" width="13.5703125" style="32" customWidth="1"/>
    <col min="2065" max="2304" width="11.5703125" style="32"/>
    <col min="2305" max="2305" width="4.140625" style="32" customWidth="1"/>
    <col min="2306" max="2306" width="15.5703125" style="32" customWidth="1"/>
    <col min="2307" max="2307" width="46.42578125" style="32" customWidth="1"/>
    <col min="2308" max="2308" width="18.28515625" style="32" customWidth="1"/>
    <col min="2309" max="2309" width="15" style="32" customWidth="1"/>
    <col min="2310" max="2310" width="15.42578125" style="32" customWidth="1"/>
    <col min="2311" max="2311" width="17.42578125" style="32" customWidth="1"/>
    <col min="2312" max="2312" width="5.5703125" style="32" customWidth="1"/>
    <col min="2313" max="2313" width="5.28515625" style="32" customWidth="1"/>
    <col min="2314" max="2314" width="4" style="32" customWidth="1"/>
    <col min="2315" max="2315" width="16.42578125" style="32" customWidth="1"/>
    <col min="2316" max="2316" width="9.5703125" style="32" customWidth="1"/>
    <col min="2317" max="2317" width="17.85546875" style="32" customWidth="1"/>
    <col min="2318" max="2319" width="18.28515625" style="32" customWidth="1"/>
    <col min="2320" max="2320" width="13.5703125" style="32" customWidth="1"/>
    <col min="2321" max="2560" width="11.5703125" style="32"/>
    <col min="2561" max="2561" width="4.140625" style="32" customWidth="1"/>
    <col min="2562" max="2562" width="15.5703125" style="32" customWidth="1"/>
    <col min="2563" max="2563" width="46.42578125" style="32" customWidth="1"/>
    <col min="2564" max="2564" width="18.28515625" style="32" customWidth="1"/>
    <col min="2565" max="2565" width="15" style="32" customWidth="1"/>
    <col min="2566" max="2566" width="15.42578125" style="32" customWidth="1"/>
    <col min="2567" max="2567" width="17.42578125" style="32" customWidth="1"/>
    <col min="2568" max="2568" width="5.5703125" style="32" customWidth="1"/>
    <col min="2569" max="2569" width="5.28515625" style="32" customWidth="1"/>
    <col min="2570" max="2570" width="4" style="32" customWidth="1"/>
    <col min="2571" max="2571" width="16.42578125" style="32" customWidth="1"/>
    <col min="2572" max="2572" width="9.5703125" style="32" customWidth="1"/>
    <col min="2573" max="2573" width="17.85546875" style="32" customWidth="1"/>
    <col min="2574" max="2575" width="18.28515625" style="32" customWidth="1"/>
    <col min="2576" max="2576" width="13.5703125" style="32" customWidth="1"/>
    <col min="2577" max="2816" width="11.5703125" style="32"/>
    <col min="2817" max="2817" width="4.140625" style="32" customWidth="1"/>
    <col min="2818" max="2818" width="15.5703125" style="32" customWidth="1"/>
    <col min="2819" max="2819" width="46.42578125" style="32" customWidth="1"/>
    <col min="2820" max="2820" width="18.28515625" style="32" customWidth="1"/>
    <col min="2821" max="2821" width="15" style="32" customWidth="1"/>
    <col min="2822" max="2822" width="15.42578125" style="32" customWidth="1"/>
    <col min="2823" max="2823" width="17.42578125" style="32" customWidth="1"/>
    <col min="2824" max="2824" width="5.5703125" style="32" customWidth="1"/>
    <col min="2825" max="2825" width="5.28515625" style="32" customWidth="1"/>
    <col min="2826" max="2826" width="4" style="32" customWidth="1"/>
    <col min="2827" max="2827" width="16.42578125" style="32" customWidth="1"/>
    <col min="2828" max="2828" width="9.5703125" style="32" customWidth="1"/>
    <col min="2829" max="2829" width="17.85546875" style="32" customWidth="1"/>
    <col min="2830" max="2831" width="18.28515625" style="32" customWidth="1"/>
    <col min="2832" max="2832" width="13.5703125" style="32" customWidth="1"/>
    <col min="2833" max="3072" width="11.5703125" style="32"/>
    <col min="3073" max="3073" width="4.140625" style="32" customWidth="1"/>
    <col min="3074" max="3074" width="15.5703125" style="32" customWidth="1"/>
    <col min="3075" max="3075" width="46.42578125" style="32" customWidth="1"/>
    <col min="3076" max="3076" width="18.28515625" style="32" customWidth="1"/>
    <col min="3077" max="3077" width="15" style="32" customWidth="1"/>
    <col min="3078" max="3078" width="15.42578125" style="32" customWidth="1"/>
    <col min="3079" max="3079" width="17.42578125" style="32" customWidth="1"/>
    <col min="3080" max="3080" width="5.5703125" style="32" customWidth="1"/>
    <col min="3081" max="3081" width="5.28515625" style="32" customWidth="1"/>
    <col min="3082" max="3082" width="4" style="32" customWidth="1"/>
    <col min="3083" max="3083" width="16.42578125" style="32" customWidth="1"/>
    <col min="3084" max="3084" width="9.5703125" style="32" customWidth="1"/>
    <col min="3085" max="3085" width="17.85546875" style="32" customWidth="1"/>
    <col min="3086" max="3087" width="18.28515625" style="32" customWidth="1"/>
    <col min="3088" max="3088" width="13.5703125" style="32" customWidth="1"/>
    <col min="3089" max="3328" width="11.5703125" style="32"/>
    <col min="3329" max="3329" width="4.140625" style="32" customWidth="1"/>
    <col min="3330" max="3330" width="15.5703125" style="32" customWidth="1"/>
    <col min="3331" max="3331" width="46.42578125" style="32" customWidth="1"/>
    <col min="3332" max="3332" width="18.28515625" style="32" customWidth="1"/>
    <col min="3333" max="3333" width="15" style="32" customWidth="1"/>
    <col min="3334" max="3334" width="15.42578125" style="32" customWidth="1"/>
    <col min="3335" max="3335" width="17.42578125" style="32" customWidth="1"/>
    <col min="3336" max="3336" width="5.5703125" style="32" customWidth="1"/>
    <col min="3337" max="3337" width="5.28515625" style="32" customWidth="1"/>
    <col min="3338" max="3338" width="4" style="32" customWidth="1"/>
    <col min="3339" max="3339" width="16.42578125" style="32" customWidth="1"/>
    <col min="3340" max="3340" width="9.5703125" style="32" customWidth="1"/>
    <col min="3341" max="3341" width="17.85546875" style="32" customWidth="1"/>
    <col min="3342" max="3343" width="18.28515625" style="32" customWidth="1"/>
    <col min="3344" max="3344" width="13.5703125" style="32" customWidth="1"/>
    <col min="3345" max="3584" width="11.5703125" style="32"/>
    <col min="3585" max="3585" width="4.140625" style="32" customWidth="1"/>
    <col min="3586" max="3586" width="15.5703125" style="32" customWidth="1"/>
    <col min="3587" max="3587" width="46.42578125" style="32" customWidth="1"/>
    <col min="3588" max="3588" width="18.28515625" style="32" customWidth="1"/>
    <col min="3589" max="3589" width="15" style="32" customWidth="1"/>
    <col min="3590" max="3590" width="15.42578125" style="32" customWidth="1"/>
    <col min="3591" max="3591" width="17.42578125" style="32" customWidth="1"/>
    <col min="3592" max="3592" width="5.5703125" style="32" customWidth="1"/>
    <col min="3593" max="3593" width="5.28515625" style="32" customWidth="1"/>
    <col min="3594" max="3594" width="4" style="32" customWidth="1"/>
    <col min="3595" max="3595" width="16.42578125" style="32" customWidth="1"/>
    <col min="3596" max="3596" width="9.5703125" style="32" customWidth="1"/>
    <col min="3597" max="3597" width="17.85546875" style="32" customWidth="1"/>
    <col min="3598" max="3599" width="18.28515625" style="32" customWidth="1"/>
    <col min="3600" max="3600" width="13.5703125" style="32" customWidth="1"/>
    <col min="3601" max="3840" width="11.5703125" style="32"/>
    <col min="3841" max="3841" width="4.140625" style="32" customWidth="1"/>
    <col min="3842" max="3842" width="15.5703125" style="32" customWidth="1"/>
    <col min="3843" max="3843" width="46.42578125" style="32" customWidth="1"/>
    <col min="3844" max="3844" width="18.28515625" style="32" customWidth="1"/>
    <col min="3845" max="3845" width="15" style="32" customWidth="1"/>
    <col min="3846" max="3846" width="15.42578125" style="32" customWidth="1"/>
    <col min="3847" max="3847" width="17.42578125" style="32" customWidth="1"/>
    <col min="3848" max="3848" width="5.5703125" style="32" customWidth="1"/>
    <col min="3849" max="3849" width="5.28515625" style="32" customWidth="1"/>
    <col min="3850" max="3850" width="4" style="32" customWidth="1"/>
    <col min="3851" max="3851" width="16.42578125" style="32" customWidth="1"/>
    <col min="3852" max="3852" width="9.5703125" style="32" customWidth="1"/>
    <col min="3853" max="3853" width="17.85546875" style="32" customWidth="1"/>
    <col min="3854" max="3855" width="18.28515625" style="32" customWidth="1"/>
    <col min="3856" max="3856" width="13.5703125" style="32" customWidth="1"/>
    <col min="3857" max="4096" width="11.5703125" style="32"/>
    <col min="4097" max="4097" width="4.140625" style="32" customWidth="1"/>
    <col min="4098" max="4098" width="15.5703125" style="32" customWidth="1"/>
    <col min="4099" max="4099" width="46.42578125" style="32" customWidth="1"/>
    <col min="4100" max="4100" width="18.28515625" style="32" customWidth="1"/>
    <col min="4101" max="4101" width="15" style="32" customWidth="1"/>
    <col min="4102" max="4102" width="15.42578125" style="32" customWidth="1"/>
    <col min="4103" max="4103" width="17.42578125" style="32" customWidth="1"/>
    <col min="4104" max="4104" width="5.5703125" style="32" customWidth="1"/>
    <col min="4105" max="4105" width="5.28515625" style="32" customWidth="1"/>
    <col min="4106" max="4106" width="4" style="32" customWidth="1"/>
    <col min="4107" max="4107" width="16.42578125" style="32" customWidth="1"/>
    <col min="4108" max="4108" width="9.5703125" style="32" customWidth="1"/>
    <col min="4109" max="4109" width="17.85546875" style="32" customWidth="1"/>
    <col min="4110" max="4111" width="18.28515625" style="32" customWidth="1"/>
    <col min="4112" max="4112" width="13.5703125" style="32" customWidth="1"/>
    <col min="4113" max="4352" width="11.5703125" style="32"/>
    <col min="4353" max="4353" width="4.140625" style="32" customWidth="1"/>
    <col min="4354" max="4354" width="15.5703125" style="32" customWidth="1"/>
    <col min="4355" max="4355" width="46.42578125" style="32" customWidth="1"/>
    <col min="4356" max="4356" width="18.28515625" style="32" customWidth="1"/>
    <col min="4357" max="4357" width="15" style="32" customWidth="1"/>
    <col min="4358" max="4358" width="15.42578125" style="32" customWidth="1"/>
    <col min="4359" max="4359" width="17.42578125" style="32" customWidth="1"/>
    <col min="4360" max="4360" width="5.5703125" style="32" customWidth="1"/>
    <col min="4361" max="4361" width="5.28515625" style="32" customWidth="1"/>
    <col min="4362" max="4362" width="4" style="32" customWidth="1"/>
    <col min="4363" max="4363" width="16.42578125" style="32" customWidth="1"/>
    <col min="4364" max="4364" width="9.5703125" style="32" customWidth="1"/>
    <col min="4365" max="4365" width="17.85546875" style="32" customWidth="1"/>
    <col min="4366" max="4367" width="18.28515625" style="32" customWidth="1"/>
    <col min="4368" max="4368" width="13.5703125" style="32" customWidth="1"/>
    <col min="4369" max="4608" width="11.5703125" style="32"/>
    <col min="4609" max="4609" width="4.140625" style="32" customWidth="1"/>
    <col min="4610" max="4610" width="15.5703125" style="32" customWidth="1"/>
    <col min="4611" max="4611" width="46.42578125" style="32" customWidth="1"/>
    <col min="4612" max="4612" width="18.28515625" style="32" customWidth="1"/>
    <col min="4613" max="4613" width="15" style="32" customWidth="1"/>
    <col min="4614" max="4614" width="15.42578125" style="32" customWidth="1"/>
    <col min="4615" max="4615" width="17.42578125" style="32" customWidth="1"/>
    <col min="4616" max="4616" width="5.5703125" style="32" customWidth="1"/>
    <col min="4617" max="4617" width="5.28515625" style="32" customWidth="1"/>
    <col min="4618" max="4618" width="4" style="32" customWidth="1"/>
    <col min="4619" max="4619" width="16.42578125" style="32" customWidth="1"/>
    <col min="4620" max="4620" width="9.5703125" style="32" customWidth="1"/>
    <col min="4621" max="4621" width="17.85546875" style="32" customWidth="1"/>
    <col min="4622" max="4623" width="18.28515625" style="32" customWidth="1"/>
    <col min="4624" max="4624" width="13.5703125" style="32" customWidth="1"/>
    <col min="4625" max="4864" width="11.5703125" style="32"/>
    <col min="4865" max="4865" width="4.140625" style="32" customWidth="1"/>
    <col min="4866" max="4866" width="15.5703125" style="32" customWidth="1"/>
    <col min="4867" max="4867" width="46.42578125" style="32" customWidth="1"/>
    <col min="4868" max="4868" width="18.28515625" style="32" customWidth="1"/>
    <col min="4869" max="4869" width="15" style="32" customWidth="1"/>
    <col min="4870" max="4870" width="15.42578125" style="32" customWidth="1"/>
    <col min="4871" max="4871" width="17.42578125" style="32" customWidth="1"/>
    <col min="4872" max="4872" width="5.5703125" style="32" customWidth="1"/>
    <col min="4873" max="4873" width="5.28515625" style="32" customWidth="1"/>
    <col min="4874" max="4874" width="4" style="32" customWidth="1"/>
    <col min="4875" max="4875" width="16.42578125" style="32" customWidth="1"/>
    <col min="4876" max="4876" width="9.5703125" style="32" customWidth="1"/>
    <col min="4877" max="4877" width="17.85546875" style="32" customWidth="1"/>
    <col min="4878" max="4879" width="18.28515625" style="32" customWidth="1"/>
    <col min="4880" max="4880" width="13.5703125" style="32" customWidth="1"/>
    <col min="4881" max="5120" width="11.5703125" style="32"/>
    <col min="5121" max="5121" width="4.140625" style="32" customWidth="1"/>
    <col min="5122" max="5122" width="15.5703125" style="32" customWidth="1"/>
    <col min="5123" max="5123" width="46.42578125" style="32" customWidth="1"/>
    <col min="5124" max="5124" width="18.28515625" style="32" customWidth="1"/>
    <col min="5125" max="5125" width="15" style="32" customWidth="1"/>
    <col min="5126" max="5126" width="15.42578125" style="32" customWidth="1"/>
    <col min="5127" max="5127" width="17.42578125" style="32" customWidth="1"/>
    <col min="5128" max="5128" width="5.5703125" style="32" customWidth="1"/>
    <col min="5129" max="5129" width="5.28515625" style="32" customWidth="1"/>
    <col min="5130" max="5130" width="4" style="32" customWidth="1"/>
    <col min="5131" max="5131" width="16.42578125" style="32" customWidth="1"/>
    <col min="5132" max="5132" width="9.5703125" style="32" customWidth="1"/>
    <col min="5133" max="5133" width="17.85546875" style="32" customWidth="1"/>
    <col min="5134" max="5135" width="18.28515625" style="32" customWidth="1"/>
    <col min="5136" max="5136" width="13.5703125" style="32" customWidth="1"/>
    <col min="5137" max="5376" width="11.5703125" style="32"/>
    <col min="5377" max="5377" width="4.140625" style="32" customWidth="1"/>
    <col min="5378" max="5378" width="15.5703125" style="32" customWidth="1"/>
    <col min="5379" max="5379" width="46.42578125" style="32" customWidth="1"/>
    <col min="5380" max="5380" width="18.28515625" style="32" customWidth="1"/>
    <col min="5381" max="5381" width="15" style="32" customWidth="1"/>
    <col min="5382" max="5382" width="15.42578125" style="32" customWidth="1"/>
    <col min="5383" max="5383" width="17.42578125" style="32" customWidth="1"/>
    <col min="5384" max="5384" width="5.5703125" style="32" customWidth="1"/>
    <col min="5385" max="5385" width="5.28515625" style="32" customWidth="1"/>
    <col min="5386" max="5386" width="4" style="32" customWidth="1"/>
    <col min="5387" max="5387" width="16.42578125" style="32" customWidth="1"/>
    <col min="5388" max="5388" width="9.5703125" style="32" customWidth="1"/>
    <col min="5389" max="5389" width="17.85546875" style="32" customWidth="1"/>
    <col min="5390" max="5391" width="18.28515625" style="32" customWidth="1"/>
    <col min="5392" max="5392" width="13.5703125" style="32" customWidth="1"/>
    <col min="5393" max="5632" width="11.5703125" style="32"/>
    <col min="5633" max="5633" width="4.140625" style="32" customWidth="1"/>
    <col min="5634" max="5634" width="15.5703125" style="32" customWidth="1"/>
    <col min="5635" max="5635" width="46.42578125" style="32" customWidth="1"/>
    <col min="5636" max="5636" width="18.28515625" style="32" customWidth="1"/>
    <col min="5637" max="5637" width="15" style="32" customWidth="1"/>
    <col min="5638" max="5638" width="15.42578125" style="32" customWidth="1"/>
    <col min="5639" max="5639" width="17.42578125" style="32" customWidth="1"/>
    <col min="5640" max="5640" width="5.5703125" style="32" customWidth="1"/>
    <col min="5641" max="5641" width="5.28515625" style="32" customWidth="1"/>
    <col min="5642" max="5642" width="4" style="32" customWidth="1"/>
    <col min="5643" max="5643" width="16.42578125" style="32" customWidth="1"/>
    <col min="5644" max="5644" width="9.5703125" style="32" customWidth="1"/>
    <col min="5645" max="5645" width="17.85546875" style="32" customWidth="1"/>
    <col min="5646" max="5647" width="18.28515625" style="32" customWidth="1"/>
    <col min="5648" max="5648" width="13.5703125" style="32" customWidth="1"/>
    <col min="5649" max="5888" width="11.5703125" style="32"/>
    <col min="5889" max="5889" width="4.140625" style="32" customWidth="1"/>
    <col min="5890" max="5890" width="15.5703125" style="32" customWidth="1"/>
    <col min="5891" max="5891" width="46.42578125" style="32" customWidth="1"/>
    <col min="5892" max="5892" width="18.28515625" style="32" customWidth="1"/>
    <col min="5893" max="5893" width="15" style="32" customWidth="1"/>
    <col min="5894" max="5894" width="15.42578125" style="32" customWidth="1"/>
    <col min="5895" max="5895" width="17.42578125" style="32" customWidth="1"/>
    <col min="5896" max="5896" width="5.5703125" style="32" customWidth="1"/>
    <col min="5897" max="5897" width="5.28515625" style="32" customWidth="1"/>
    <col min="5898" max="5898" width="4" style="32" customWidth="1"/>
    <col min="5899" max="5899" width="16.42578125" style="32" customWidth="1"/>
    <col min="5900" max="5900" width="9.5703125" style="32" customWidth="1"/>
    <col min="5901" max="5901" width="17.85546875" style="32" customWidth="1"/>
    <col min="5902" max="5903" width="18.28515625" style="32" customWidth="1"/>
    <col min="5904" max="5904" width="13.5703125" style="32" customWidth="1"/>
    <col min="5905" max="6144" width="11.5703125" style="32"/>
    <col min="6145" max="6145" width="4.140625" style="32" customWidth="1"/>
    <col min="6146" max="6146" width="15.5703125" style="32" customWidth="1"/>
    <col min="6147" max="6147" width="46.42578125" style="32" customWidth="1"/>
    <col min="6148" max="6148" width="18.28515625" style="32" customWidth="1"/>
    <col min="6149" max="6149" width="15" style="32" customWidth="1"/>
    <col min="6150" max="6150" width="15.42578125" style="32" customWidth="1"/>
    <col min="6151" max="6151" width="17.42578125" style="32" customWidth="1"/>
    <col min="6152" max="6152" width="5.5703125" style="32" customWidth="1"/>
    <col min="6153" max="6153" width="5.28515625" style="32" customWidth="1"/>
    <col min="6154" max="6154" width="4" style="32" customWidth="1"/>
    <col min="6155" max="6155" width="16.42578125" style="32" customWidth="1"/>
    <col min="6156" max="6156" width="9.5703125" style="32" customWidth="1"/>
    <col min="6157" max="6157" width="17.85546875" style="32" customWidth="1"/>
    <col min="6158" max="6159" width="18.28515625" style="32" customWidth="1"/>
    <col min="6160" max="6160" width="13.5703125" style="32" customWidth="1"/>
    <col min="6161" max="6400" width="11.5703125" style="32"/>
    <col min="6401" max="6401" width="4.140625" style="32" customWidth="1"/>
    <col min="6402" max="6402" width="15.5703125" style="32" customWidth="1"/>
    <col min="6403" max="6403" width="46.42578125" style="32" customWidth="1"/>
    <col min="6404" max="6404" width="18.28515625" style="32" customWidth="1"/>
    <col min="6405" max="6405" width="15" style="32" customWidth="1"/>
    <col min="6406" max="6406" width="15.42578125" style="32" customWidth="1"/>
    <col min="6407" max="6407" width="17.42578125" style="32" customWidth="1"/>
    <col min="6408" max="6408" width="5.5703125" style="32" customWidth="1"/>
    <col min="6409" max="6409" width="5.28515625" style="32" customWidth="1"/>
    <col min="6410" max="6410" width="4" style="32" customWidth="1"/>
    <col min="6411" max="6411" width="16.42578125" style="32" customWidth="1"/>
    <col min="6412" max="6412" width="9.5703125" style="32" customWidth="1"/>
    <col min="6413" max="6413" width="17.85546875" style="32" customWidth="1"/>
    <col min="6414" max="6415" width="18.28515625" style="32" customWidth="1"/>
    <col min="6416" max="6416" width="13.5703125" style="32" customWidth="1"/>
    <col min="6417" max="6656" width="11.5703125" style="32"/>
    <col min="6657" max="6657" width="4.140625" style="32" customWidth="1"/>
    <col min="6658" max="6658" width="15.5703125" style="32" customWidth="1"/>
    <col min="6659" max="6659" width="46.42578125" style="32" customWidth="1"/>
    <col min="6660" max="6660" width="18.28515625" style="32" customWidth="1"/>
    <col min="6661" max="6661" width="15" style="32" customWidth="1"/>
    <col min="6662" max="6662" width="15.42578125" style="32" customWidth="1"/>
    <col min="6663" max="6663" width="17.42578125" style="32" customWidth="1"/>
    <col min="6664" max="6664" width="5.5703125" style="32" customWidth="1"/>
    <col min="6665" max="6665" width="5.28515625" style="32" customWidth="1"/>
    <col min="6666" max="6666" width="4" style="32" customWidth="1"/>
    <col min="6667" max="6667" width="16.42578125" style="32" customWidth="1"/>
    <col min="6668" max="6668" width="9.5703125" style="32" customWidth="1"/>
    <col min="6669" max="6669" width="17.85546875" style="32" customWidth="1"/>
    <col min="6670" max="6671" width="18.28515625" style="32" customWidth="1"/>
    <col min="6672" max="6672" width="13.5703125" style="32" customWidth="1"/>
    <col min="6673" max="6912" width="11.5703125" style="32"/>
    <col min="6913" max="6913" width="4.140625" style="32" customWidth="1"/>
    <col min="6914" max="6914" width="15.5703125" style="32" customWidth="1"/>
    <col min="6915" max="6915" width="46.42578125" style="32" customWidth="1"/>
    <col min="6916" max="6916" width="18.28515625" style="32" customWidth="1"/>
    <col min="6917" max="6917" width="15" style="32" customWidth="1"/>
    <col min="6918" max="6918" width="15.42578125" style="32" customWidth="1"/>
    <col min="6919" max="6919" width="17.42578125" style="32" customWidth="1"/>
    <col min="6920" max="6920" width="5.5703125" style="32" customWidth="1"/>
    <col min="6921" max="6921" width="5.28515625" style="32" customWidth="1"/>
    <col min="6922" max="6922" width="4" style="32" customWidth="1"/>
    <col min="6923" max="6923" width="16.42578125" style="32" customWidth="1"/>
    <col min="6924" max="6924" width="9.5703125" style="32" customWidth="1"/>
    <col min="6925" max="6925" width="17.85546875" style="32" customWidth="1"/>
    <col min="6926" max="6927" width="18.28515625" style="32" customWidth="1"/>
    <col min="6928" max="6928" width="13.5703125" style="32" customWidth="1"/>
    <col min="6929" max="7168" width="11.5703125" style="32"/>
    <col min="7169" max="7169" width="4.140625" style="32" customWidth="1"/>
    <col min="7170" max="7170" width="15.5703125" style="32" customWidth="1"/>
    <col min="7171" max="7171" width="46.42578125" style="32" customWidth="1"/>
    <col min="7172" max="7172" width="18.28515625" style="32" customWidth="1"/>
    <col min="7173" max="7173" width="15" style="32" customWidth="1"/>
    <col min="7174" max="7174" width="15.42578125" style="32" customWidth="1"/>
    <col min="7175" max="7175" width="17.42578125" style="32" customWidth="1"/>
    <col min="7176" max="7176" width="5.5703125" style="32" customWidth="1"/>
    <col min="7177" max="7177" width="5.28515625" style="32" customWidth="1"/>
    <col min="7178" max="7178" width="4" style="32" customWidth="1"/>
    <col min="7179" max="7179" width="16.42578125" style="32" customWidth="1"/>
    <col min="7180" max="7180" width="9.5703125" style="32" customWidth="1"/>
    <col min="7181" max="7181" width="17.85546875" style="32" customWidth="1"/>
    <col min="7182" max="7183" width="18.28515625" style="32" customWidth="1"/>
    <col min="7184" max="7184" width="13.5703125" style="32" customWidth="1"/>
    <col min="7185" max="7424" width="11.5703125" style="32"/>
    <col min="7425" max="7425" width="4.140625" style="32" customWidth="1"/>
    <col min="7426" max="7426" width="15.5703125" style="32" customWidth="1"/>
    <col min="7427" max="7427" width="46.42578125" style="32" customWidth="1"/>
    <col min="7428" max="7428" width="18.28515625" style="32" customWidth="1"/>
    <col min="7429" max="7429" width="15" style="32" customWidth="1"/>
    <col min="7430" max="7430" width="15.42578125" style="32" customWidth="1"/>
    <col min="7431" max="7431" width="17.42578125" style="32" customWidth="1"/>
    <col min="7432" max="7432" width="5.5703125" style="32" customWidth="1"/>
    <col min="7433" max="7433" width="5.28515625" style="32" customWidth="1"/>
    <col min="7434" max="7434" width="4" style="32" customWidth="1"/>
    <col min="7435" max="7435" width="16.42578125" style="32" customWidth="1"/>
    <col min="7436" max="7436" width="9.5703125" style="32" customWidth="1"/>
    <col min="7437" max="7437" width="17.85546875" style="32" customWidth="1"/>
    <col min="7438" max="7439" width="18.28515625" style="32" customWidth="1"/>
    <col min="7440" max="7440" width="13.5703125" style="32" customWidth="1"/>
    <col min="7441" max="7680" width="11.5703125" style="32"/>
    <col min="7681" max="7681" width="4.140625" style="32" customWidth="1"/>
    <col min="7682" max="7682" width="15.5703125" style="32" customWidth="1"/>
    <col min="7683" max="7683" width="46.42578125" style="32" customWidth="1"/>
    <col min="7684" max="7684" width="18.28515625" style="32" customWidth="1"/>
    <col min="7685" max="7685" width="15" style="32" customWidth="1"/>
    <col min="7686" max="7686" width="15.42578125" style="32" customWidth="1"/>
    <col min="7687" max="7687" width="17.42578125" style="32" customWidth="1"/>
    <col min="7688" max="7688" width="5.5703125" style="32" customWidth="1"/>
    <col min="7689" max="7689" width="5.28515625" style="32" customWidth="1"/>
    <col min="7690" max="7690" width="4" style="32" customWidth="1"/>
    <col min="7691" max="7691" width="16.42578125" style="32" customWidth="1"/>
    <col min="7692" max="7692" width="9.5703125" style="32" customWidth="1"/>
    <col min="7693" max="7693" width="17.85546875" style="32" customWidth="1"/>
    <col min="7694" max="7695" width="18.28515625" style="32" customWidth="1"/>
    <col min="7696" max="7696" width="13.5703125" style="32" customWidth="1"/>
    <col min="7697" max="7936" width="11.5703125" style="32"/>
    <col min="7937" max="7937" width="4.140625" style="32" customWidth="1"/>
    <col min="7938" max="7938" width="15.5703125" style="32" customWidth="1"/>
    <col min="7939" max="7939" width="46.42578125" style="32" customWidth="1"/>
    <col min="7940" max="7940" width="18.28515625" style="32" customWidth="1"/>
    <col min="7941" max="7941" width="15" style="32" customWidth="1"/>
    <col min="7942" max="7942" width="15.42578125" style="32" customWidth="1"/>
    <col min="7943" max="7943" width="17.42578125" style="32" customWidth="1"/>
    <col min="7944" max="7944" width="5.5703125" style="32" customWidth="1"/>
    <col min="7945" max="7945" width="5.28515625" style="32" customWidth="1"/>
    <col min="7946" max="7946" width="4" style="32" customWidth="1"/>
    <col min="7947" max="7947" width="16.42578125" style="32" customWidth="1"/>
    <col min="7948" max="7948" width="9.5703125" style="32" customWidth="1"/>
    <col min="7949" max="7949" width="17.85546875" style="32" customWidth="1"/>
    <col min="7950" max="7951" width="18.28515625" style="32" customWidth="1"/>
    <col min="7952" max="7952" width="13.5703125" style="32" customWidth="1"/>
    <col min="7953" max="8192" width="11.5703125" style="32"/>
    <col min="8193" max="8193" width="4.140625" style="32" customWidth="1"/>
    <col min="8194" max="8194" width="15.5703125" style="32" customWidth="1"/>
    <col min="8195" max="8195" width="46.42578125" style="32" customWidth="1"/>
    <col min="8196" max="8196" width="18.28515625" style="32" customWidth="1"/>
    <col min="8197" max="8197" width="15" style="32" customWidth="1"/>
    <col min="8198" max="8198" width="15.42578125" style="32" customWidth="1"/>
    <col min="8199" max="8199" width="17.42578125" style="32" customWidth="1"/>
    <col min="8200" max="8200" width="5.5703125" style="32" customWidth="1"/>
    <col min="8201" max="8201" width="5.28515625" style="32" customWidth="1"/>
    <col min="8202" max="8202" width="4" style="32" customWidth="1"/>
    <col min="8203" max="8203" width="16.42578125" style="32" customWidth="1"/>
    <col min="8204" max="8204" width="9.5703125" style="32" customWidth="1"/>
    <col min="8205" max="8205" width="17.85546875" style="32" customWidth="1"/>
    <col min="8206" max="8207" width="18.28515625" style="32" customWidth="1"/>
    <col min="8208" max="8208" width="13.5703125" style="32" customWidth="1"/>
    <col min="8209" max="8448" width="11.5703125" style="32"/>
    <col min="8449" max="8449" width="4.140625" style="32" customWidth="1"/>
    <col min="8450" max="8450" width="15.5703125" style="32" customWidth="1"/>
    <col min="8451" max="8451" width="46.42578125" style="32" customWidth="1"/>
    <col min="8452" max="8452" width="18.28515625" style="32" customWidth="1"/>
    <col min="8453" max="8453" width="15" style="32" customWidth="1"/>
    <col min="8454" max="8454" width="15.42578125" style="32" customWidth="1"/>
    <col min="8455" max="8455" width="17.42578125" style="32" customWidth="1"/>
    <col min="8456" max="8456" width="5.5703125" style="32" customWidth="1"/>
    <col min="8457" max="8457" width="5.28515625" style="32" customWidth="1"/>
    <col min="8458" max="8458" width="4" style="32" customWidth="1"/>
    <col min="8459" max="8459" width="16.42578125" style="32" customWidth="1"/>
    <col min="8460" max="8460" width="9.5703125" style="32" customWidth="1"/>
    <col min="8461" max="8461" width="17.85546875" style="32" customWidth="1"/>
    <col min="8462" max="8463" width="18.28515625" style="32" customWidth="1"/>
    <col min="8464" max="8464" width="13.5703125" style="32" customWidth="1"/>
    <col min="8465" max="8704" width="11.5703125" style="32"/>
    <col min="8705" max="8705" width="4.140625" style="32" customWidth="1"/>
    <col min="8706" max="8706" width="15.5703125" style="32" customWidth="1"/>
    <col min="8707" max="8707" width="46.42578125" style="32" customWidth="1"/>
    <col min="8708" max="8708" width="18.28515625" style="32" customWidth="1"/>
    <col min="8709" max="8709" width="15" style="32" customWidth="1"/>
    <col min="8710" max="8710" width="15.42578125" style="32" customWidth="1"/>
    <col min="8711" max="8711" width="17.42578125" style="32" customWidth="1"/>
    <col min="8712" max="8712" width="5.5703125" style="32" customWidth="1"/>
    <col min="8713" max="8713" width="5.28515625" style="32" customWidth="1"/>
    <col min="8714" max="8714" width="4" style="32" customWidth="1"/>
    <col min="8715" max="8715" width="16.42578125" style="32" customWidth="1"/>
    <col min="8716" max="8716" width="9.5703125" style="32" customWidth="1"/>
    <col min="8717" max="8717" width="17.85546875" style="32" customWidth="1"/>
    <col min="8718" max="8719" width="18.28515625" style="32" customWidth="1"/>
    <col min="8720" max="8720" width="13.5703125" style="32" customWidth="1"/>
    <col min="8721" max="8960" width="11.5703125" style="32"/>
    <col min="8961" max="8961" width="4.140625" style="32" customWidth="1"/>
    <col min="8962" max="8962" width="15.5703125" style="32" customWidth="1"/>
    <col min="8963" max="8963" width="46.42578125" style="32" customWidth="1"/>
    <col min="8964" max="8964" width="18.28515625" style="32" customWidth="1"/>
    <col min="8965" max="8965" width="15" style="32" customWidth="1"/>
    <col min="8966" max="8966" width="15.42578125" style="32" customWidth="1"/>
    <col min="8967" max="8967" width="17.42578125" style="32" customWidth="1"/>
    <col min="8968" max="8968" width="5.5703125" style="32" customWidth="1"/>
    <col min="8969" max="8969" width="5.28515625" style="32" customWidth="1"/>
    <col min="8970" max="8970" width="4" style="32" customWidth="1"/>
    <col min="8971" max="8971" width="16.42578125" style="32" customWidth="1"/>
    <col min="8972" max="8972" width="9.5703125" style="32" customWidth="1"/>
    <col min="8973" max="8973" width="17.85546875" style="32" customWidth="1"/>
    <col min="8974" max="8975" width="18.28515625" style="32" customWidth="1"/>
    <col min="8976" max="8976" width="13.5703125" style="32" customWidth="1"/>
    <col min="8977" max="9216" width="11.5703125" style="32"/>
    <col min="9217" max="9217" width="4.140625" style="32" customWidth="1"/>
    <col min="9218" max="9218" width="15.5703125" style="32" customWidth="1"/>
    <col min="9219" max="9219" width="46.42578125" style="32" customWidth="1"/>
    <col min="9220" max="9220" width="18.28515625" style="32" customWidth="1"/>
    <col min="9221" max="9221" width="15" style="32" customWidth="1"/>
    <col min="9222" max="9222" width="15.42578125" style="32" customWidth="1"/>
    <col min="9223" max="9223" width="17.42578125" style="32" customWidth="1"/>
    <col min="9224" max="9224" width="5.5703125" style="32" customWidth="1"/>
    <col min="9225" max="9225" width="5.28515625" style="32" customWidth="1"/>
    <col min="9226" max="9226" width="4" style="32" customWidth="1"/>
    <col min="9227" max="9227" width="16.42578125" style="32" customWidth="1"/>
    <col min="9228" max="9228" width="9.5703125" style="32" customWidth="1"/>
    <col min="9229" max="9229" width="17.85546875" style="32" customWidth="1"/>
    <col min="9230" max="9231" width="18.28515625" style="32" customWidth="1"/>
    <col min="9232" max="9232" width="13.5703125" style="32" customWidth="1"/>
    <col min="9233" max="9472" width="11.5703125" style="32"/>
    <col min="9473" max="9473" width="4.140625" style="32" customWidth="1"/>
    <col min="9474" max="9474" width="15.5703125" style="32" customWidth="1"/>
    <col min="9475" max="9475" width="46.42578125" style="32" customWidth="1"/>
    <col min="9476" max="9476" width="18.28515625" style="32" customWidth="1"/>
    <col min="9477" max="9477" width="15" style="32" customWidth="1"/>
    <col min="9478" max="9478" width="15.42578125" style="32" customWidth="1"/>
    <col min="9479" max="9479" width="17.42578125" style="32" customWidth="1"/>
    <col min="9480" max="9480" width="5.5703125" style="32" customWidth="1"/>
    <col min="9481" max="9481" width="5.28515625" style="32" customWidth="1"/>
    <col min="9482" max="9482" width="4" style="32" customWidth="1"/>
    <col min="9483" max="9483" width="16.42578125" style="32" customWidth="1"/>
    <col min="9484" max="9484" width="9.5703125" style="32" customWidth="1"/>
    <col min="9485" max="9485" width="17.85546875" style="32" customWidth="1"/>
    <col min="9486" max="9487" width="18.28515625" style="32" customWidth="1"/>
    <col min="9488" max="9488" width="13.5703125" style="32" customWidth="1"/>
    <col min="9489" max="9728" width="11.5703125" style="32"/>
    <col min="9729" max="9729" width="4.140625" style="32" customWidth="1"/>
    <col min="9730" max="9730" width="15.5703125" style="32" customWidth="1"/>
    <col min="9731" max="9731" width="46.42578125" style="32" customWidth="1"/>
    <col min="9732" max="9732" width="18.28515625" style="32" customWidth="1"/>
    <col min="9733" max="9733" width="15" style="32" customWidth="1"/>
    <col min="9734" max="9734" width="15.42578125" style="32" customWidth="1"/>
    <col min="9735" max="9735" width="17.42578125" style="32" customWidth="1"/>
    <col min="9736" max="9736" width="5.5703125" style="32" customWidth="1"/>
    <col min="9737" max="9737" width="5.28515625" style="32" customWidth="1"/>
    <col min="9738" max="9738" width="4" style="32" customWidth="1"/>
    <col min="9739" max="9739" width="16.42578125" style="32" customWidth="1"/>
    <col min="9740" max="9740" width="9.5703125" style="32" customWidth="1"/>
    <col min="9741" max="9741" width="17.85546875" style="32" customWidth="1"/>
    <col min="9742" max="9743" width="18.28515625" style="32" customWidth="1"/>
    <col min="9744" max="9744" width="13.5703125" style="32" customWidth="1"/>
    <col min="9745" max="9984" width="11.5703125" style="32"/>
    <col min="9985" max="9985" width="4.140625" style="32" customWidth="1"/>
    <col min="9986" max="9986" width="15.5703125" style="32" customWidth="1"/>
    <col min="9987" max="9987" width="46.42578125" style="32" customWidth="1"/>
    <col min="9988" max="9988" width="18.28515625" style="32" customWidth="1"/>
    <col min="9989" max="9989" width="15" style="32" customWidth="1"/>
    <col min="9990" max="9990" width="15.42578125" style="32" customWidth="1"/>
    <col min="9991" max="9991" width="17.42578125" style="32" customWidth="1"/>
    <col min="9992" max="9992" width="5.5703125" style="32" customWidth="1"/>
    <col min="9993" max="9993" width="5.28515625" style="32" customWidth="1"/>
    <col min="9994" max="9994" width="4" style="32" customWidth="1"/>
    <col min="9995" max="9995" width="16.42578125" style="32" customWidth="1"/>
    <col min="9996" max="9996" width="9.5703125" style="32" customWidth="1"/>
    <col min="9997" max="9997" width="17.85546875" style="32" customWidth="1"/>
    <col min="9998" max="9999" width="18.28515625" style="32" customWidth="1"/>
    <col min="10000" max="10000" width="13.5703125" style="32" customWidth="1"/>
    <col min="10001" max="10240" width="11.5703125" style="32"/>
    <col min="10241" max="10241" width="4.140625" style="32" customWidth="1"/>
    <col min="10242" max="10242" width="15.5703125" style="32" customWidth="1"/>
    <col min="10243" max="10243" width="46.42578125" style="32" customWidth="1"/>
    <col min="10244" max="10244" width="18.28515625" style="32" customWidth="1"/>
    <col min="10245" max="10245" width="15" style="32" customWidth="1"/>
    <col min="10246" max="10246" width="15.42578125" style="32" customWidth="1"/>
    <col min="10247" max="10247" width="17.42578125" style="32" customWidth="1"/>
    <col min="10248" max="10248" width="5.5703125" style="32" customWidth="1"/>
    <col min="10249" max="10249" width="5.28515625" style="32" customWidth="1"/>
    <col min="10250" max="10250" width="4" style="32" customWidth="1"/>
    <col min="10251" max="10251" width="16.42578125" style="32" customWidth="1"/>
    <col min="10252" max="10252" width="9.5703125" style="32" customWidth="1"/>
    <col min="10253" max="10253" width="17.85546875" style="32" customWidth="1"/>
    <col min="10254" max="10255" width="18.28515625" style="32" customWidth="1"/>
    <col min="10256" max="10256" width="13.5703125" style="32" customWidth="1"/>
    <col min="10257" max="10496" width="11.5703125" style="32"/>
    <col min="10497" max="10497" width="4.140625" style="32" customWidth="1"/>
    <col min="10498" max="10498" width="15.5703125" style="32" customWidth="1"/>
    <col min="10499" max="10499" width="46.42578125" style="32" customWidth="1"/>
    <col min="10500" max="10500" width="18.28515625" style="32" customWidth="1"/>
    <col min="10501" max="10501" width="15" style="32" customWidth="1"/>
    <col min="10502" max="10502" width="15.42578125" style="32" customWidth="1"/>
    <col min="10503" max="10503" width="17.42578125" style="32" customWidth="1"/>
    <col min="10504" max="10504" width="5.5703125" style="32" customWidth="1"/>
    <col min="10505" max="10505" width="5.28515625" style="32" customWidth="1"/>
    <col min="10506" max="10506" width="4" style="32" customWidth="1"/>
    <col min="10507" max="10507" width="16.42578125" style="32" customWidth="1"/>
    <col min="10508" max="10508" width="9.5703125" style="32" customWidth="1"/>
    <col min="10509" max="10509" width="17.85546875" style="32" customWidth="1"/>
    <col min="10510" max="10511" width="18.28515625" style="32" customWidth="1"/>
    <col min="10512" max="10512" width="13.5703125" style="32" customWidth="1"/>
    <col min="10513" max="10752" width="11.5703125" style="32"/>
    <col min="10753" max="10753" width="4.140625" style="32" customWidth="1"/>
    <col min="10754" max="10754" width="15.5703125" style="32" customWidth="1"/>
    <col min="10755" max="10755" width="46.42578125" style="32" customWidth="1"/>
    <col min="10756" max="10756" width="18.28515625" style="32" customWidth="1"/>
    <col min="10757" max="10757" width="15" style="32" customWidth="1"/>
    <col min="10758" max="10758" width="15.42578125" style="32" customWidth="1"/>
    <col min="10759" max="10759" width="17.42578125" style="32" customWidth="1"/>
    <col min="10760" max="10760" width="5.5703125" style="32" customWidth="1"/>
    <col min="10761" max="10761" width="5.28515625" style="32" customWidth="1"/>
    <col min="10762" max="10762" width="4" style="32" customWidth="1"/>
    <col min="10763" max="10763" width="16.42578125" style="32" customWidth="1"/>
    <col min="10764" max="10764" width="9.5703125" style="32" customWidth="1"/>
    <col min="10765" max="10765" width="17.85546875" style="32" customWidth="1"/>
    <col min="10766" max="10767" width="18.28515625" style="32" customWidth="1"/>
    <col min="10768" max="10768" width="13.5703125" style="32" customWidth="1"/>
    <col min="10769" max="11008" width="11.5703125" style="32"/>
    <col min="11009" max="11009" width="4.140625" style="32" customWidth="1"/>
    <col min="11010" max="11010" width="15.5703125" style="32" customWidth="1"/>
    <col min="11011" max="11011" width="46.42578125" style="32" customWidth="1"/>
    <col min="11012" max="11012" width="18.28515625" style="32" customWidth="1"/>
    <col min="11013" max="11013" width="15" style="32" customWidth="1"/>
    <col min="11014" max="11014" width="15.42578125" style="32" customWidth="1"/>
    <col min="11015" max="11015" width="17.42578125" style="32" customWidth="1"/>
    <col min="11016" max="11016" width="5.5703125" style="32" customWidth="1"/>
    <col min="11017" max="11017" width="5.28515625" style="32" customWidth="1"/>
    <col min="11018" max="11018" width="4" style="32" customWidth="1"/>
    <col min="11019" max="11019" width="16.42578125" style="32" customWidth="1"/>
    <col min="11020" max="11020" width="9.5703125" style="32" customWidth="1"/>
    <col min="11021" max="11021" width="17.85546875" style="32" customWidth="1"/>
    <col min="11022" max="11023" width="18.28515625" style="32" customWidth="1"/>
    <col min="11024" max="11024" width="13.5703125" style="32" customWidth="1"/>
    <col min="11025" max="11264" width="11.5703125" style="32"/>
    <col min="11265" max="11265" width="4.140625" style="32" customWidth="1"/>
    <col min="11266" max="11266" width="15.5703125" style="32" customWidth="1"/>
    <col min="11267" max="11267" width="46.42578125" style="32" customWidth="1"/>
    <col min="11268" max="11268" width="18.28515625" style="32" customWidth="1"/>
    <col min="11269" max="11269" width="15" style="32" customWidth="1"/>
    <col min="11270" max="11270" width="15.42578125" style="32" customWidth="1"/>
    <col min="11271" max="11271" width="17.42578125" style="32" customWidth="1"/>
    <col min="11272" max="11272" width="5.5703125" style="32" customWidth="1"/>
    <col min="11273" max="11273" width="5.28515625" style="32" customWidth="1"/>
    <col min="11274" max="11274" width="4" style="32" customWidth="1"/>
    <col min="11275" max="11275" width="16.42578125" style="32" customWidth="1"/>
    <col min="11276" max="11276" width="9.5703125" style="32" customWidth="1"/>
    <col min="11277" max="11277" width="17.85546875" style="32" customWidth="1"/>
    <col min="11278" max="11279" width="18.28515625" style="32" customWidth="1"/>
    <col min="11280" max="11280" width="13.5703125" style="32" customWidth="1"/>
    <col min="11281" max="11520" width="11.5703125" style="32"/>
    <col min="11521" max="11521" width="4.140625" style="32" customWidth="1"/>
    <col min="11522" max="11522" width="15.5703125" style="32" customWidth="1"/>
    <col min="11523" max="11523" width="46.42578125" style="32" customWidth="1"/>
    <col min="11524" max="11524" width="18.28515625" style="32" customWidth="1"/>
    <col min="11525" max="11525" width="15" style="32" customWidth="1"/>
    <col min="11526" max="11526" width="15.42578125" style="32" customWidth="1"/>
    <col min="11527" max="11527" width="17.42578125" style="32" customWidth="1"/>
    <col min="11528" max="11528" width="5.5703125" style="32" customWidth="1"/>
    <col min="11529" max="11529" width="5.28515625" style="32" customWidth="1"/>
    <col min="11530" max="11530" width="4" style="32" customWidth="1"/>
    <col min="11531" max="11531" width="16.42578125" style="32" customWidth="1"/>
    <col min="11532" max="11532" width="9.5703125" style="32" customWidth="1"/>
    <col min="11533" max="11533" width="17.85546875" style="32" customWidth="1"/>
    <col min="11534" max="11535" width="18.28515625" style="32" customWidth="1"/>
    <col min="11536" max="11536" width="13.5703125" style="32" customWidth="1"/>
    <col min="11537" max="11776" width="11.5703125" style="32"/>
    <col min="11777" max="11777" width="4.140625" style="32" customWidth="1"/>
    <col min="11778" max="11778" width="15.5703125" style="32" customWidth="1"/>
    <col min="11779" max="11779" width="46.42578125" style="32" customWidth="1"/>
    <col min="11780" max="11780" width="18.28515625" style="32" customWidth="1"/>
    <col min="11781" max="11781" width="15" style="32" customWidth="1"/>
    <col min="11782" max="11782" width="15.42578125" style="32" customWidth="1"/>
    <col min="11783" max="11783" width="17.42578125" style="32" customWidth="1"/>
    <col min="11784" max="11784" width="5.5703125" style="32" customWidth="1"/>
    <col min="11785" max="11785" width="5.28515625" style="32" customWidth="1"/>
    <col min="11786" max="11786" width="4" style="32" customWidth="1"/>
    <col min="11787" max="11787" width="16.42578125" style="32" customWidth="1"/>
    <col min="11788" max="11788" width="9.5703125" style="32" customWidth="1"/>
    <col min="11789" max="11789" width="17.85546875" style="32" customWidth="1"/>
    <col min="11790" max="11791" width="18.28515625" style="32" customWidth="1"/>
    <col min="11792" max="11792" width="13.5703125" style="32" customWidth="1"/>
    <col min="11793" max="12032" width="11.5703125" style="32"/>
    <col min="12033" max="12033" width="4.140625" style="32" customWidth="1"/>
    <col min="12034" max="12034" width="15.5703125" style="32" customWidth="1"/>
    <col min="12035" max="12035" width="46.42578125" style="32" customWidth="1"/>
    <col min="12036" max="12036" width="18.28515625" style="32" customWidth="1"/>
    <col min="12037" max="12037" width="15" style="32" customWidth="1"/>
    <col min="12038" max="12038" width="15.42578125" style="32" customWidth="1"/>
    <col min="12039" max="12039" width="17.42578125" style="32" customWidth="1"/>
    <col min="12040" max="12040" width="5.5703125" style="32" customWidth="1"/>
    <col min="12041" max="12041" width="5.28515625" style="32" customWidth="1"/>
    <col min="12042" max="12042" width="4" style="32" customWidth="1"/>
    <col min="12043" max="12043" width="16.42578125" style="32" customWidth="1"/>
    <col min="12044" max="12044" width="9.5703125" style="32" customWidth="1"/>
    <col min="12045" max="12045" width="17.85546875" style="32" customWidth="1"/>
    <col min="12046" max="12047" width="18.28515625" style="32" customWidth="1"/>
    <col min="12048" max="12048" width="13.5703125" style="32" customWidth="1"/>
    <col min="12049" max="12288" width="11.5703125" style="32"/>
    <col min="12289" max="12289" width="4.140625" style="32" customWidth="1"/>
    <col min="12290" max="12290" width="15.5703125" style="32" customWidth="1"/>
    <col min="12291" max="12291" width="46.42578125" style="32" customWidth="1"/>
    <col min="12292" max="12292" width="18.28515625" style="32" customWidth="1"/>
    <col min="12293" max="12293" width="15" style="32" customWidth="1"/>
    <col min="12294" max="12294" width="15.42578125" style="32" customWidth="1"/>
    <col min="12295" max="12295" width="17.42578125" style="32" customWidth="1"/>
    <col min="12296" max="12296" width="5.5703125" style="32" customWidth="1"/>
    <col min="12297" max="12297" width="5.28515625" style="32" customWidth="1"/>
    <col min="12298" max="12298" width="4" style="32" customWidth="1"/>
    <col min="12299" max="12299" width="16.42578125" style="32" customWidth="1"/>
    <col min="12300" max="12300" width="9.5703125" style="32" customWidth="1"/>
    <col min="12301" max="12301" width="17.85546875" style="32" customWidth="1"/>
    <col min="12302" max="12303" width="18.28515625" style="32" customWidth="1"/>
    <col min="12304" max="12304" width="13.5703125" style="32" customWidth="1"/>
    <col min="12305" max="12544" width="11.5703125" style="32"/>
    <col min="12545" max="12545" width="4.140625" style="32" customWidth="1"/>
    <col min="12546" max="12546" width="15.5703125" style="32" customWidth="1"/>
    <col min="12547" max="12547" width="46.42578125" style="32" customWidth="1"/>
    <col min="12548" max="12548" width="18.28515625" style="32" customWidth="1"/>
    <col min="12549" max="12549" width="15" style="32" customWidth="1"/>
    <col min="12550" max="12550" width="15.42578125" style="32" customWidth="1"/>
    <col min="12551" max="12551" width="17.42578125" style="32" customWidth="1"/>
    <col min="12552" max="12552" width="5.5703125" style="32" customWidth="1"/>
    <col min="12553" max="12553" width="5.28515625" style="32" customWidth="1"/>
    <col min="12554" max="12554" width="4" style="32" customWidth="1"/>
    <col min="12555" max="12555" width="16.42578125" style="32" customWidth="1"/>
    <col min="12556" max="12556" width="9.5703125" style="32" customWidth="1"/>
    <col min="12557" max="12557" width="17.85546875" style="32" customWidth="1"/>
    <col min="12558" max="12559" width="18.28515625" style="32" customWidth="1"/>
    <col min="12560" max="12560" width="13.5703125" style="32" customWidth="1"/>
    <col min="12561" max="12800" width="11.5703125" style="32"/>
    <col min="12801" max="12801" width="4.140625" style="32" customWidth="1"/>
    <col min="12802" max="12802" width="15.5703125" style="32" customWidth="1"/>
    <col min="12803" max="12803" width="46.42578125" style="32" customWidth="1"/>
    <col min="12804" max="12804" width="18.28515625" style="32" customWidth="1"/>
    <col min="12805" max="12805" width="15" style="32" customWidth="1"/>
    <col min="12806" max="12806" width="15.42578125" style="32" customWidth="1"/>
    <col min="12807" max="12807" width="17.42578125" style="32" customWidth="1"/>
    <col min="12808" max="12808" width="5.5703125" style="32" customWidth="1"/>
    <col min="12809" max="12809" width="5.28515625" style="32" customWidth="1"/>
    <col min="12810" max="12810" width="4" style="32" customWidth="1"/>
    <col min="12811" max="12811" width="16.42578125" style="32" customWidth="1"/>
    <col min="12812" max="12812" width="9.5703125" style="32" customWidth="1"/>
    <col min="12813" max="12813" width="17.85546875" style="32" customWidth="1"/>
    <col min="12814" max="12815" width="18.28515625" style="32" customWidth="1"/>
    <col min="12816" max="12816" width="13.5703125" style="32" customWidth="1"/>
    <col min="12817" max="13056" width="11.5703125" style="32"/>
    <col min="13057" max="13057" width="4.140625" style="32" customWidth="1"/>
    <col min="13058" max="13058" width="15.5703125" style="32" customWidth="1"/>
    <col min="13059" max="13059" width="46.42578125" style="32" customWidth="1"/>
    <col min="13060" max="13060" width="18.28515625" style="32" customWidth="1"/>
    <col min="13061" max="13061" width="15" style="32" customWidth="1"/>
    <col min="13062" max="13062" width="15.42578125" style="32" customWidth="1"/>
    <col min="13063" max="13063" width="17.42578125" style="32" customWidth="1"/>
    <col min="13064" max="13064" width="5.5703125" style="32" customWidth="1"/>
    <col min="13065" max="13065" width="5.28515625" style="32" customWidth="1"/>
    <col min="13066" max="13066" width="4" style="32" customWidth="1"/>
    <col min="13067" max="13067" width="16.42578125" style="32" customWidth="1"/>
    <col min="13068" max="13068" width="9.5703125" style="32" customWidth="1"/>
    <col min="13069" max="13069" width="17.85546875" style="32" customWidth="1"/>
    <col min="13070" max="13071" width="18.28515625" style="32" customWidth="1"/>
    <col min="13072" max="13072" width="13.5703125" style="32" customWidth="1"/>
    <col min="13073" max="13312" width="11.5703125" style="32"/>
    <col min="13313" max="13313" width="4.140625" style="32" customWidth="1"/>
    <col min="13314" max="13314" width="15.5703125" style="32" customWidth="1"/>
    <col min="13315" max="13315" width="46.42578125" style="32" customWidth="1"/>
    <col min="13316" max="13316" width="18.28515625" style="32" customWidth="1"/>
    <col min="13317" max="13317" width="15" style="32" customWidth="1"/>
    <col min="13318" max="13318" width="15.42578125" style="32" customWidth="1"/>
    <col min="13319" max="13319" width="17.42578125" style="32" customWidth="1"/>
    <col min="13320" max="13320" width="5.5703125" style="32" customWidth="1"/>
    <col min="13321" max="13321" width="5.28515625" style="32" customWidth="1"/>
    <col min="13322" max="13322" width="4" style="32" customWidth="1"/>
    <col min="13323" max="13323" width="16.42578125" style="32" customWidth="1"/>
    <col min="13324" max="13324" width="9.5703125" style="32" customWidth="1"/>
    <col min="13325" max="13325" width="17.85546875" style="32" customWidth="1"/>
    <col min="13326" max="13327" width="18.28515625" style="32" customWidth="1"/>
    <col min="13328" max="13328" width="13.5703125" style="32" customWidth="1"/>
    <col min="13329" max="13568" width="11.5703125" style="32"/>
    <col min="13569" max="13569" width="4.140625" style="32" customWidth="1"/>
    <col min="13570" max="13570" width="15.5703125" style="32" customWidth="1"/>
    <col min="13571" max="13571" width="46.42578125" style="32" customWidth="1"/>
    <col min="13572" max="13572" width="18.28515625" style="32" customWidth="1"/>
    <col min="13573" max="13573" width="15" style="32" customWidth="1"/>
    <col min="13574" max="13574" width="15.42578125" style="32" customWidth="1"/>
    <col min="13575" max="13575" width="17.42578125" style="32" customWidth="1"/>
    <col min="13576" max="13576" width="5.5703125" style="32" customWidth="1"/>
    <col min="13577" max="13577" width="5.28515625" style="32" customWidth="1"/>
    <col min="13578" max="13578" width="4" style="32" customWidth="1"/>
    <col min="13579" max="13579" width="16.42578125" style="32" customWidth="1"/>
    <col min="13580" max="13580" width="9.5703125" style="32" customWidth="1"/>
    <col min="13581" max="13581" width="17.85546875" style="32" customWidth="1"/>
    <col min="13582" max="13583" width="18.28515625" style="32" customWidth="1"/>
    <col min="13584" max="13584" width="13.5703125" style="32" customWidth="1"/>
    <col min="13585" max="13824" width="11.5703125" style="32"/>
    <col min="13825" max="13825" width="4.140625" style="32" customWidth="1"/>
    <col min="13826" max="13826" width="15.5703125" style="32" customWidth="1"/>
    <col min="13827" max="13827" width="46.42578125" style="32" customWidth="1"/>
    <col min="13828" max="13828" width="18.28515625" style="32" customWidth="1"/>
    <col min="13829" max="13829" width="15" style="32" customWidth="1"/>
    <col min="13830" max="13830" width="15.42578125" style="32" customWidth="1"/>
    <col min="13831" max="13831" width="17.42578125" style="32" customWidth="1"/>
    <col min="13832" max="13832" width="5.5703125" style="32" customWidth="1"/>
    <col min="13833" max="13833" width="5.28515625" style="32" customWidth="1"/>
    <col min="13834" max="13834" width="4" style="32" customWidth="1"/>
    <col min="13835" max="13835" width="16.42578125" style="32" customWidth="1"/>
    <col min="13836" max="13836" width="9.5703125" style="32" customWidth="1"/>
    <col min="13837" max="13837" width="17.85546875" style="32" customWidth="1"/>
    <col min="13838" max="13839" width="18.28515625" style="32" customWidth="1"/>
    <col min="13840" max="13840" width="13.5703125" style="32" customWidth="1"/>
    <col min="13841" max="14080" width="11.5703125" style="32"/>
    <col min="14081" max="14081" width="4.140625" style="32" customWidth="1"/>
    <col min="14082" max="14082" width="15.5703125" style="32" customWidth="1"/>
    <col min="14083" max="14083" width="46.42578125" style="32" customWidth="1"/>
    <col min="14084" max="14084" width="18.28515625" style="32" customWidth="1"/>
    <col min="14085" max="14085" width="15" style="32" customWidth="1"/>
    <col min="14086" max="14086" width="15.42578125" style="32" customWidth="1"/>
    <col min="14087" max="14087" width="17.42578125" style="32" customWidth="1"/>
    <col min="14088" max="14088" width="5.5703125" style="32" customWidth="1"/>
    <col min="14089" max="14089" width="5.28515625" style="32" customWidth="1"/>
    <col min="14090" max="14090" width="4" style="32" customWidth="1"/>
    <col min="14091" max="14091" width="16.42578125" style="32" customWidth="1"/>
    <col min="14092" max="14092" width="9.5703125" style="32" customWidth="1"/>
    <col min="14093" max="14093" width="17.85546875" style="32" customWidth="1"/>
    <col min="14094" max="14095" width="18.28515625" style="32" customWidth="1"/>
    <col min="14096" max="14096" width="13.5703125" style="32" customWidth="1"/>
    <col min="14097" max="14336" width="11.5703125" style="32"/>
    <col min="14337" max="14337" width="4.140625" style="32" customWidth="1"/>
    <col min="14338" max="14338" width="15.5703125" style="32" customWidth="1"/>
    <col min="14339" max="14339" width="46.42578125" style="32" customWidth="1"/>
    <col min="14340" max="14340" width="18.28515625" style="32" customWidth="1"/>
    <col min="14341" max="14341" width="15" style="32" customWidth="1"/>
    <col min="14342" max="14342" width="15.42578125" style="32" customWidth="1"/>
    <col min="14343" max="14343" width="17.42578125" style="32" customWidth="1"/>
    <col min="14344" max="14344" width="5.5703125" style="32" customWidth="1"/>
    <col min="14345" max="14345" width="5.28515625" style="32" customWidth="1"/>
    <col min="14346" max="14346" width="4" style="32" customWidth="1"/>
    <col min="14347" max="14347" width="16.42578125" style="32" customWidth="1"/>
    <col min="14348" max="14348" width="9.5703125" style="32" customWidth="1"/>
    <col min="14349" max="14349" width="17.85546875" style="32" customWidth="1"/>
    <col min="14350" max="14351" width="18.28515625" style="32" customWidth="1"/>
    <col min="14352" max="14352" width="13.5703125" style="32" customWidth="1"/>
    <col min="14353" max="14592" width="11.5703125" style="32"/>
    <col min="14593" max="14593" width="4.140625" style="32" customWidth="1"/>
    <col min="14594" max="14594" width="15.5703125" style="32" customWidth="1"/>
    <col min="14595" max="14595" width="46.42578125" style="32" customWidth="1"/>
    <col min="14596" max="14596" width="18.28515625" style="32" customWidth="1"/>
    <col min="14597" max="14597" width="15" style="32" customWidth="1"/>
    <col min="14598" max="14598" width="15.42578125" style="32" customWidth="1"/>
    <col min="14599" max="14599" width="17.42578125" style="32" customWidth="1"/>
    <col min="14600" max="14600" width="5.5703125" style="32" customWidth="1"/>
    <col min="14601" max="14601" width="5.28515625" style="32" customWidth="1"/>
    <col min="14602" max="14602" width="4" style="32" customWidth="1"/>
    <col min="14603" max="14603" width="16.42578125" style="32" customWidth="1"/>
    <col min="14604" max="14604" width="9.5703125" style="32" customWidth="1"/>
    <col min="14605" max="14605" width="17.85546875" style="32" customWidth="1"/>
    <col min="14606" max="14607" width="18.28515625" style="32" customWidth="1"/>
    <col min="14608" max="14608" width="13.5703125" style="32" customWidth="1"/>
    <col min="14609" max="14848" width="11.5703125" style="32"/>
    <col min="14849" max="14849" width="4.140625" style="32" customWidth="1"/>
    <col min="14850" max="14850" width="15.5703125" style="32" customWidth="1"/>
    <col min="14851" max="14851" width="46.42578125" style="32" customWidth="1"/>
    <col min="14852" max="14852" width="18.28515625" style="32" customWidth="1"/>
    <col min="14853" max="14853" width="15" style="32" customWidth="1"/>
    <col min="14854" max="14854" width="15.42578125" style="32" customWidth="1"/>
    <col min="14855" max="14855" width="17.42578125" style="32" customWidth="1"/>
    <col min="14856" max="14856" width="5.5703125" style="32" customWidth="1"/>
    <col min="14857" max="14857" width="5.28515625" style="32" customWidth="1"/>
    <col min="14858" max="14858" width="4" style="32" customWidth="1"/>
    <col min="14859" max="14859" width="16.42578125" style="32" customWidth="1"/>
    <col min="14860" max="14860" width="9.5703125" style="32" customWidth="1"/>
    <col min="14861" max="14861" width="17.85546875" style="32" customWidth="1"/>
    <col min="14862" max="14863" width="18.28515625" style="32" customWidth="1"/>
    <col min="14864" max="14864" width="13.5703125" style="32" customWidth="1"/>
    <col min="14865" max="15104" width="11.5703125" style="32"/>
    <col min="15105" max="15105" width="4.140625" style="32" customWidth="1"/>
    <col min="15106" max="15106" width="15.5703125" style="32" customWidth="1"/>
    <col min="15107" max="15107" width="46.42578125" style="32" customWidth="1"/>
    <col min="15108" max="15108" width="18.28515625" style="32" customWidth="1"/>
    <col min="15109" max="15109" width="15" style="32" customWidth="1"/>
    <col min="15110" max="15110" width="15.42578125" style="32" customWidth="1"/>
    <col min="15111" max="15111" width="17.42578125" style="32" customWidth="1"/>
    <col min="15112" max="15112" width="5.5703125" style="32" customWidth="1"/>
    <col min="15113" max="15113" width="5.28515625" style="32" customWidth="1"/>
    <col min="15114" max="15114" width="4" style="32" customWidth="1"/>
    <col min="15115" max="15115" width="16.42578125" style="32" customWidth="1"/>
    <col min="15116" max="15116" width="9.5703125" style="32" customWidth="1"/>
    <col min="15117" max="15117" width="17.85546875" style="32" customWidth="1"/>
    <col min="15118" max="15119" width="18.28515625" style="32" customWidth="1"/>
    <col min="15120" max="15120" width="13.5703125" style="32" customWidth="1"/>
    <col min="15121" max="15360" width="11.5703125" style="32"/>
    <col min="15361" max="15361" width="4.140625" style="32" customWidth="1"/>
    <col min="15362" max="15362" width="15.5703125" style="32" customWidth="1"/>
    <col min="15363" max="15363" width="46.42578125" style="32" customWidth="1"/>
    <col min="15364" max="15364" width="18.28515625" style="32" customWidth="1"/>
    <col min="15365" max="15365" width="15" style="32" customWidth="1"/>
    <col min="15366" max="15366" width="15.42578125" style="32" customWidth="1"/>
    <col min="15367" max="15367" width="17.42578125" style="32" customWidth="1"/>
    <col min="15368" max="15368" width="5.5703125" style="32" customWidth="1"/>
    <col min="15369" max="15369" width="5.28515625" style="32" customWidth="1"/>
    <col min="15370" max="15370" width="4" style="32" customWidth="1"/>
    <col min="15371" max="15371" width="16.42578125" style="32" customWidth="1"/>
    <col min="15372" max="15372" width="9.5703125" style="32" customWidth="1"/>
    <col min="15373" max="15373" width="17.85546875" style="32" customWidth="1"/>
    <col min="15374" max="15375" width="18.28515625" style="32" customWidth="1"/>
    <col min="15376" max="15376" width="13.5703125" style="32" customWidth="1"/>
    <col min="15377" max="15616" width="11.5703125" style="32"/>
    <col min="15617" max="15617" width="4.140625" style="32" customWidth="1"/>
    <col min="15618" max="15618" width="15.5703125" style="32" customWidth="1"/>
    <col min="15619" max="15619" width="46.42578125" style="32" customWidth="1"/>
    <col min="15620" max="15620" width="18.28515625" style="32" customWidth="1"/>
    <col min="15621" max="15621" width="15" style="32" customWidth="1"/>
    <col min="15622" max="15622" width="15.42578125" style="32" customWidth="1"/>
    <col min="15623" max="15623" width="17.42578125" style="32" customWidth="1"/>
    <col min="15624" max="15624" width="5.5703125" style="32" customWidth="1"/>
    <col min="15625" max="15625" width="5.28515625" style="32" customWidth="1"/>
    <col min="15626" max="15626" width="4" style="32" customWidth="1"/>
    <col min="15627" max="15627" width="16.42578125" style="32" customWidth="1"/>
    <col min="15628" max="15628" width="9.5703125" style="32" customWidth="1"/>
    <col min="15629" max="15629" width="17.85546875" style="32" customWidth="1"/>
    <col min="15630" max="15631" width="18.28515625" style="32" customWidth="1"/>
    <col min="15632" max="15632" width="13.5703125" style="32" customWidth="1"/>
    <col min="15633" max="15872" width="11.5703125" style="32"/>
    <col min="15873" max="15873" width="4.140625" style="32" customWidth="1"/>
    <col min="15874" max="15874" width="15.5703125" style="32" customWidth="1"/>
    <col min="15875" max="15875" width="46.42578125" style="32" customWidth="1"/>
    <col min="15876" max="15876" width="18.28515625" style="32" customWidth="1"/>
    <col min="15877" max="15877" width="15" style="32" customWidth="1"/>
    <col min="15878" max="15878" width="15.42578125" style="32" customWidth="1"/>
    <col min="15879" max="15879" width="17.42578125" style="32" customWidth="1"/>
    <col min="15880" max="15880" width="5.5703125" style="32" customWidth="1"/>
    <col min="15881" max="15881" width="5.28515625" style="32" customWidth="1"/>
    <col min="15882" max="15882" width="4" style="32" customWidth="1"/>
    <col min="15883" max="15883" width="16.42578125" style="32" customWidth="1"/>
    <col min="15884" max="15884" width="9.5703125" style="32" customWidth="1"/>
    <col min="15885" max="15885" width="17.85546875" style="32" customWidth="1"/>
    <col min="15886" max="15887" width="18.28515625" style="32" customWidth="1"/>
    <col min="15888" max="15888" width="13.5703125" style="32" customWidth="1"/>
    <col min="15889" max="16128" width="11.5703125" style="32"/>
    <col min="16129" max="16129" width="4.140625" style="32" customWidth="1"/>
    <col min="16130" max="16130" width="15.5703125" style="32" customWidth="1"/>
    <col min="16131" max="16131" width="46.42578125" style="32" customWidth="1"/>
    <col min="16132" max="16132" width="18.28515625" style="32" customWidth="1"/>
    <col min="16133" max="16133" width="15" style="32" customWidth="1"/>
    <col min="16134" max="16134" width="15.42578125" style="32" customWidth="1"/>
    <col min="16135" max="16135" width="17.42578125" style="32" customWidth="1"/>
    <col min="16136" max="16136" width="5.5703125" style="32" customWidth="1"/>
    <col min="16137" max="16137" width="5.28515625" style="32" customWidth="1"/>
    <col min="16138" max="16138" width="4" style="32" customWidth="1"/>
    <col min="16139" max="16139" width="16.42578125" style="32" customWidth="1"/>
    <col min="16140" max="16140" width="9.5703125" style="32" customWidth="1"/>
    <col min="16141" max="16141" width="17.85546875" style="32" customWidth="1"/>
    <col min="16142" max="16143" width="18.28515625" style="32" customWidth="1"/>
    <col min="16144" max="16144" width="13.5703125" style="32" customWidth="1"/>
    <col min="16145" max="16384" width="11.5703125" style="32"/>
  </cols>
  <sheetData>
    <row r="1" spans="2:16" ht="41.45" customHeight="1">
      <c r="B1" s="306" t="str">
        <f>+COSTOS!A2</f>
        <v>Consultora especializada para el Servicio de elaboración del Estudio de Pre Inversión y Expediente Técnico de Obra del proyecto: “MEJORAMIENTO DE REDES MT Y BT DEL ALIMENTADOR A4012 DE LA SET HUANTA, PROVINCIAS DE HUANTA, ACOBAMBA, ANGARAES, CHURCAMPA, DEPARTAMENTO AYACUCHO Y HUANCAVELICA”</v>
      </c>
      <c r="C1" s="307"/>
      <c r="D1" s="307"/>
      <c r="E1" s="307"/>
      <c r="F1" s="307"/>
      <c r="G1" s="308"/>
      <c r="H1" s="6"/>
    </row>
    <row r="2" spans="2:16" ht="13.5" customHeight="1" thickBot="1">
      <c r="B2" s="100"/>
      <c r="C2" s="101"/>
      <c r="D2" s="101"/>
      <c r="E2" s="101"/>
      <c r="F2" s="101"/>
      <c r="G2" s="101"/>
      <c r="H2" s="88"/>
    </row>
    <row r="3" spans="2:16" ht="13.5" customHeight="1">
      <c r="B3" s="100"/>
      <c r="C3" s="102" t="s">
        <v>111</v>
      </c>
      <c r="D3" s="105">
        <f>COSTOS!F85</f>
        <v>200</v>
      </c>
      <c r="E3" s="101"/>
      <c r="F3" s="101"/>
      <c r="G3" s="101"/>
      <c r="H3" s="88"/>
    </row>
    <row r="4" spans="2:16" ht="13.5" customHeight="1">
      <c r="B4" s="100"/>
      <c r="C4" s="103" t="s">
        <v>112</v>
      </c>
      <c r="D4" s="106"/>
      <c r="E4" s="101"/>
      <c r="F4" s="101"/>
      <c r="G4" s="101"/>
      <c r="H4" s="88"/>
    </row>
    <row r="5" spans="2:16" ht="13.5" customHeight="1">
      <c r="B5" s="100"/>
      <c r="C5" s="104" t="s">
        <v>113</v>
      </c>
      <c r="D5" s="107">
        <f>+COSTOS!G23</f>
        <v>91780</v>
      </c>
      <c r="E5" s="101"/>
      <c r="F5" s="101"/>
      <c r="G5" s="101"/>
      <c r="H5" s="88"/>
    </row>
    <row r="6" spans="2:16" ht="13.5" customHeight="1">
      <c r="B6" s="100"/>
      <c r="C6" s="104" t="s">
        <v>114</v>
      </c>
      <c r="D6" s="107">
        <f>+COSTOS!G50</f>
        <v>115900</v>
      </c>
      <c r="E6" s="101"/>
      <c r="F6" s="101"/>
      <c r="G6" s="101"/>
      <c r="H6" s="88"/>
    </row>
    <row r="7" spans="2:16" ht="13.5" hidden="1" customHeight="1">
      <c r="B7" s="100"/>
      <c r="C7" s="104" t="s">
        <v>115</v>
      </c>
      <c r="D7" s="107">
        <f>+COSTOS!G59</f>
        <v>5000</v>
      </c>
      <c r="E7" s="101"/>
      <c r="F7" s="101"/>
      <c r="G7" s="101"/>
      <c r="H7" s="88"/>
    </row>
    <row r="8" spans="2:16" ht="13.5" customHeight="1" thickBot="1">
      <c r="B8" s="100"/>
      <c r="C8" s="104" t="s">
        <v>86</v>
      </c>
      <c r="D8" s="107">
        <f>+COSTOS!G71</f>
        <v>0</v>
      </c>
      <c r="E8" s="101"/>
      <c r="F8" s="101"/>
      <c r="G8" s="101"/>
      <c r="H8" s="88"/>
    </row>
    <row r="9" spans="2:16" ht="13.5" customHeight="1">
      <c r="B9" s="109"/>
      <c r="C9" s="92" t="s">
        <v>116</v>
      </c>
      <c r="D9" s="93">
        <f>SUM(D5:D8)</f>
        <v>212680</v>
      </c>
      <c r="E9" s="101"/>
      <c r="F9" s="101"/>
      <c r="G9" s="101"/>
      <c r="H9" s="88"/>
      <c r="K9" s="89"/>
      <c r="O9" s="32">
        <v>5</v>
      </c>
    </row>
    <row r="10" spans="2:16" ht="13.5" customHeight="1">
      <c r="B10" s="109"/>
      <c r="C10" s="104" t="s">
        <v>117</v>
      </c>
      <c r="D10" s="107">
        <f>+G29</f>
        <v>34209.5</v>
      </c>
      <c r="E10" s="91">
        <f>D10/$D$9</f>
        <v>0.16084963325183374</v>
      </c>
      <c r="F10" s="101"/>
      <c r="G10" s="33"/>
      <c r="H10" s="34"/>
      <c r="K10" s="89"/>
      <c r="N10" s="32" t="s">
        <v>118</v>
      </c>
      <c r="O10" s="32">
        <v>20</v>
      </c>
    </row>
    <row r="11" spans="2:16" ht="13.5" customHeight="1">
      <c r="B11" s="109"/>
      <c r="C11" s="104" t="s">
        <v>119</v>
      </c>
      <c r="D11" s="107">
        <f>+G40</f>
        <v>6366.8960999999999</v>
      </c>
      <c r="E11" s="91">
        <f t="shared" ref="E11" si="0">D11/$D$9</f>
        <v>2.9936506018431445E-2</v>
      </c>
      <c r="F11" s="101"/>
      <c r="G11" s="33"/>
      <c r="H11" s="34"/>
      <c r="K11" s="89"/>
      <c r="O11" s="32">
        <v>5</v>
      </c>
    </row>
    <row r="12" spans="2:16" ht="13.5" customHeight="1">
      <c r="B12" s="108"/>
      <c r="C12" s="104" t="s">
        <v>120</v>
      </c>
      <c r="D12" s="107">
        <f>+D9*0.05</f>
        <v>10634</v>
      </c>
      <c r="E12" s="36"/>
      <c r="F12" s="101"/>
      <c r="G12" s="101"/>
      <c r="H12" s="88"/>
      <c r="K12" s="89"/>
      <c r="M12" s="32">
        <v>20</v>
      </c>
      <c r="N12" s="32" t="s">
        <v>121</v>
      </c>
      <c r="O12" s="32">
        <v>45</v>
      </c>
      <c r="P12" s="32">
        <f>SUM(O9:O12)</f>
        <v>75</v>
      </c>
    </row>
    <row r="13" spans="2:16" ht="13.5" customHeight="1" thickBot="1">
      <c r="B13" s="100"/>
      <c r="C13" s="110" t="s">
        <v>122</v>
      </c>
      <c r="D13" s="94">
        <f>SUM(D9:D12)</f>
        <v>263890.39610000001</v>
      </c>
      <c r="E13" s="37"/>
      <c r="F13" s="38"/>
      <c r="G13" s="101"/>
      <c r="H13" s="88"/>
      <c r="K13" s="39"/>
    </row>
    <row r="14" spans="2:16" ht="13.5" customHeight="1" thickBot="1">
      <c r="B14" s="40"/>
      <c r="C14" s="41"/>
      <c r="D14" s="41"/>
      <c r="E14" s="42"/>
      <c r="F14" s="42"/>
      <c r="G14" s="42"/>
      <c r="H14" s="88"/>
      <c r="K14" s="35"/>
      <c r="M14" s="32">
        <v>20</v>
      </c>
      <c r="N14" s="32" t="s">
        <v>123</v>
      </c>
      <c r="O14" s="32">
        <v>25</v>
      </c>
    </row>
    <row r="15" spans="2:16" ht="13.5" thickBot="1">
      <c r="B15" s="43" t="s">
        <v>117</v>
      </c>
      <c r="C15" s="44"/>
      <c r="D15" s="44"/>
      <c r="E15" s="44"/>
      <c r="F15" s="44"/>
      <c r="G15" s="45"/>
      <c r="H15" s="46"/>
      <c r="K15" s="35"/>
      <c r="O15" s="32">
        <v>5</v>
      </c>
    </row>
    <row r="16" spans="2:16" ht="13.5" thickBot="1">
      <c r="B16" s="47" t="s">
        <v>124</v>
      </c>
      <c r="C16" s="48" t="s">
        <v>125</v>
      </c>
      <c r="D16" s="48" t="s">
        <v>126</v>
      </c>
      <c r="E16" s="48" t="s">
        <v>7</v>
      </c>
      <c r="F16" s="48" t="s">
        <v>127</v>
      </c>
      <c r="G16" s="49" t="s">
        <v>128</v>
      </c>
      <c r="H16" s="50"/>
      <c r="K16" s="35"/>
      <c r="L16" s="32" t="s">
        <v>129</v>
      </c>
      <c r="M16" s="32">
        <v>20</v>
      </c>
      <c r="N16" s="32" t="s">
        <v>130</v>
      </c>
      <c r="O16" s="32">
        <v>15</v>
      </c>
    </row>
    <row r="17" spans="1:19" ht="13.5" thickBot="1">
      <c r="B17" s="51"/>
      <c r="D17" s="52"/>
      <c r="F17" s="53"/>
      <c r="G17" s="54"/>
      <c r="O17" s="32">
        <v>5</v>
      </c>
    </row>
    <row r="18" spans="1:19" ht="13.5" thickBot="1">
      <c r="A18" s="35"/>
      <c r="B18" s="56">
        <v>1</v>
      </c>
      <c r="C18" s="57" t="s">
        <v>131</v>
      </c>
      <c r="D18" s="57"/>
      <c r="E18" s="57"/>
      <c r="F18" s="59"/>
      <c r="G18" s="60">
        <f>SUM(G19:G22)</f>
        <v>19009.5</v>
      </c>
      <c r="H18" s="50"/>
      <c r="N18" s="32" t="s">
        <v>132</v>
      </c>
      <c r="O18" s="32">
        <v>10</v>
      </c>
    </row>
    <row r="19" spans="1:19" ht="15">
      <c r="A19" s="35"/>
      <c r="B19" s="61"/>
      <c r="C19" s="32" t="s">
        <v>133</v>
      </c>
      <c r="D19" s="31" t="s">
        <v>12</v>
      </c>
      <c r="E19" s="53">
        <f>ROUND($D$3/30,2)</f>
        <v>6.67</v>
      </c>
      <c r="F19" s="53">
        <v>1200</v>
      </c>
      <c r="G19" s="54">
        <f>F19*E19</f>
        <v>8004</v>
      </c>
      <c r="O19" s="32">
        <v>5</v>
      </c>
      <c r="P19" s="32">
        <f>SUM(O14:O19)</f>
        <v>65</v>
      </c>
    </row>
    <row r="20" spans="1:19" ht="15">
      <c r="A20" s="35"/>
      <c r="B20" s="61"/>
      <c r="C20" s="32" t="s">
        <v>134</v>
      </c>
      <c r="D20" s="31" t="s">
        <v>12</v>
      </c>
      <c r="E20" s="53">
        <f t="shared" ref="E20:E22" si="1">ROUND($D$3/30,2)</f>
        <v>6.67</v>
      </c>
      <c r="F20" s="53">
        <v>150</v>
      </c>
      <c r="G20" s="54">
        <f>F20*E20</f>
        <v>1000.5</v>
      </c>
      <c r="K20" s="55"/>
      <c r="L20" s="55"/>
      <c r="M20" s="55"/>
      <c r="N20" s="55"/>
      <c r="O20" s="55"/>
    </row>
    <row r="21" spans="1:19">
      <c r="A21" s="35"/>
      <c r="B21" s="61"/>
      <c r="C21" s="32" t="s">
        <v>135</v>
      </c>
      <c r="D21" s="55" t="s">
        <v>12</v>
      </c>
      <c r="E21" s="53">
        <f t="shared" si="1"/>
        <v>6.67</v>
      </c>
      <c r="F21" s="53">
        <v>1000</v>
      </c>
      <c r="G21" s="54">
        <f>F21*E21</f>
        <v>6670</v>
      </c>
      <c r="K21" s="55"/>
      <c r="L21" s="55"/>
      <c r="M21" s="55"/>
      <c r="N21" s="55" t="s">
        <v>136</v>
      </c>
      <c r="O21" s="55"/>
    </row>
    <row r="22" spans="1:19" ht="13.5" thickBot="1">
      <c r="A22" s="35"/>
      <c r="B22" s="61"/>
      <c r="C22" s="32" t="s">
        <v>137</v>
      </c>
      <c r="D22" s="55" t="s">
        <v>12</v>
      </c>
      <c r="E22" s="53">
        <f t="shared" si="1"/>
        <v>6.67</v>
      </c>
      <c r="F22" s="53">
        <v>500</v>
      </c>
      <c r="G22" s="54">
        <f>F22*E22</f>
        <v>3335</v>
      </c>
      <c r="K22" s="55"/>
      <c r="L22" s="55"/>
      <c r="M22" s="55"/>
      <c r="N22" s="55" t="s">
        <v>138</v>
      </c>
      <c r="O22" s="55"/>
    </row>
    <row r="23" spans="1:19" ht="13.5" thickBot="1">
      <c r="A23" s="35"/>
      <c r="B23" s="240">
        <v>2</v>
      </c>
      <c r="C23" s="241" t="s">
        <v>139</v>
      </c>
      <c r="D23" s="242"/>
      <c r="E23" s="243"/>
      <c r="F23" s="243"/>
      <c r="G23" s="244">
        <f>SUM(G24:G24)</f>
        <v>14400</v>
      </c>
      <c r="K23" s="55"/>
      <c r="L23" s="55"/>
      <c r="M23" s="55"/>
      <c r="N23" s="55"/>
      <c r="O23" s="55"/>
    </row>
    <row r="24" spans="1:19" ht="25.5">
      <c r="A24" s="35"/>
      <c r="B24" s="227"/>
      <c r="C24" s="228" t="s">
        <v>16</v>
      </c>
      <c r="D24" s="229" t="s">
        <v>12</v>
      </c>
      <c r="E24" s="230">
        <f>ROUND(E22/3,0)</f>
        <v>2</v>
      </c>
      <c r="F24" s="230">
        <v>7200</v>
      </c>
      <c r="G24" s="231">
        <f>F24*E24</f>
        <v>14400</v>
      </c>
      <c r="K24" s="55"/>
      <c r="L24" s="55"/>
      <c r="M24" s="55"/>
      <c r="N24" s="55"/>
      <c r="O24" s="55"/>
    </row>
    <row r="25" spans="1:19" ht="13.5" thickBot="1">
      <c r="A25" s="35"/>
      <c r="B25" s="61"/>
      <c r="D25" s="55"/>
      <c r="E25" s="53"/>
      <c r="F25" s="53"/>
      <c r="G25" s="54"/>
      <c r="K25" s="55"/>
      <c r="L25" s="55"/>
      <c r="M25" s="55"/>
      <c r="N25" s="55"/>
      <c r="O25" s="55"/>
    </row>
    <row r="26" spans="1:19" ht="13.5" thickBot="1">
      <c r="A26" s="35"/>
      <c r="B26" s="240">
        <v>2</v>
      </c>
      <c r="C26" s="241" t="s">
        <v>140</v>
      </c>
      <c r="D26" s="242"/>
      <c r="E26" s="243"/>
      <c r="F26" s="243"/>
      <c r="G26" s="244">
        <f>SUM(G27:G27)</f>
        <v>800</v>
      </c>
      <c r="J26" s="55"/>
      <c r="K26" s="55"/>
      <c r="L26" s="55"/>
      <c r="M26" s="55"/>
      <c r="N26" s="55"/>
      <c r="O26" s="55"/>
      <c r="S26" s="55"/>
    </row>
    <row r="27" spans="1:19">
      <c r="A27" s="35"/>
      <c r="B27" s="227"/>
      <c r="C27" s="228" t="s">
        <v>141</v>
      </c>
      <c r="D27" s="229" t="s">
        <v>20</v>
      </c>
      <c r="E27" s="230">
        <v>1</v>
      </c>
      <c r="F27" s="230">
        <v>800</v>
      </c>
      <c r="G27" s="231">
        <f>F27*E27</f>
        <v>800</v>
      </c>
      <c r="J27" s="55"/>
      <c r="K27" s="55"/>
      <c r="L27" s="55"/>
      <c r="M27" s="55"/>
      <c r="N27" s="55"/>
      <c r="O27" s="55"/>
      <c r="S27" s="55"/>
    </row>
    <row r="28" spans="1:19" ht="13.5" thickBot="1">
      <c r="A28" s="35"/>
      <c r="B28" s="232"/>
      <c r="D28" s="52"/>
      <c r="E28" s="233"/>
      <c r="F28" s="53"/>
      <c r="G28" s="234"/>
      <c r="J28" s="55"/>
      <c r="K28" s="55"/>
      <c r="L28" s="55"/>
      <c r="M28" s="55"/>
      <c r="N28" s="55"/>
      <c r="O28" s="55"/>
      <c r="S28" s="55"/>
    </row>
    <row r="29" spans="1:19" ht="15" customHeight="1">
      <c r="A29" s="35"/>
      <c r="B29" s="304" t="s">
        <v>142</v>
      </c>
      <c r="C29" s="305"/>
      <c r="D29" s="305"/>
      <c r="E29" s="305"/>
      <c r="F29" s="305"/>
      <c r="G29" s="235">
        <f>G26+G18+G23</f>
        <v>34209.5</v>
      </c>
      <c r="J29" s="55"/>
      <c r="K29" s="55"/>
      <c r="L29" s="55"/>
      <c r="M29" s="55"/>
      <c r="N29" s="55"/>
      <c r="O29" s="55"/>
      <c r="S29" s="55"/>
    </row>
    <row r="30" spans="1:19" ht="15.75">
      <c r="A30" s="35"/>
      <c r="B30" s="232"/>
      <c r="D30" s="52"/>
      <c r="E30" s="233"/>
      <c r="F30" s="53"/>
      <c r="G30" s="236">
        <f>ROUND(G29/D9,4)</f>
        <v>0.1608</v>
      </c>
      <c r="J30" s="55"/>
      <c r="K30" s="55"/>
      <c r="L30" s="55"/>
      <c r="M30" s="55"/>
      <c r="N30" s="55"/>
      <c r="O30" s="55"/>
      <c r="S30" s="55"/>
    </row>
    <row r="31" spans="1:19">
      <c r="A31" s="35"/>
      <c r="B31" s="232"/>
      <c r="D31" s="52"/>
      <c r="E31" s="233"/>
      <c r="F31" s="53"/>
      <c r="G31" s="234"/>
      <c r="J31" s="55"/>
      <c r="K31" s="55"/>
      <c r="L31" s="55"/>
      <c r="M31" s="55"/>
      <c r="N31" s="55"/>
      <c r="O31" s="55"/>
      <c r="S31" s="55"/>
    </row>
    <row r="32" spans="1:19">
      <c r="B32" s="237"/>
      <c r="C32" s="238"/>
      <c r="D32" s="238"/>
      <c r="E32" s="238"/>
      <c r="F32" s="238"/>
      <c r="G32" s="239"/>
    </row>
    <row r="33" spans="2:17">
      <c r="B33" s="245" t="s">
        <v>143</v>
      </c>
      <c r="C33" s="246"/>
      <c r="D33" s="246"/>
      <c r="E33" s="246"/>
      <c r="F33" s="246"/>
      <c r="G33" s="247"/>
      <c r="H33" s="67"/>
    </row>
    <row r="34" spans="2:17">
      <c r="B34" s="47" t="s">
        <v>124</v>
      </c>
      <c r="C34" s="48" t="s">
        <v>125</v>
      </c>
      <c r="D34" s="48" t="s">
        <v>126</v>
      </c>
      <c r="E34" s="48" t="s">
        <v>7</v>
      </c>
      <c r="F34" s="48" t="s">
        <v>127</v>
      </c>
      <c r="G34" s="49" t="s">
        <v>97</v>
      </c>
      <c r="H34" s="50"/>
      <c r="N34" s="55"/>
    </row>
    <row r="35" spans="2:17" ht="13.5" thickBot="1">
      <c r="B35" s="68"/>
      <c r="C35" s="69"/>
      <c r="D35" s="69"/>
      <c r="E35" s="69"/>
      <c r="F35" s="69"/>
      <c r="G35" s="70"/>
      <c r="N35" s="55"/>
    </row>
    <row r="36" spans="2:17" ht="13.5" thickBot="1">
      <c r="B36" s="56">
        <v>1</v>
      </c>
      <c r="C36" s="57" t="s">
        <v>144</v>
      </c>
      <c r="D36" s="58"/>
      <c r="E36" s="57"/>
      <c r="F36" s="59"/>
      <c r="G36" s="60">
        <f>SUM(G37:G39)</f>
        <v>6366.8960999999999</v>
      </c>
      <c r="H36" s="71"/>
      <c r="K36" s="62" t="s">
        <v>145</v>
      </c>
      <c r="L36" s="63"/>
      <c r="M36" s="63" t="s">
        <v>146</v>
      </c>
      <c r="N36" s="62" t="s">
        <v>147</v>
      </c>
      <c r="O36" s="73" t="s">
        <v>148</v>
      </c>
      <c r="P36" s="63" t="s">
        <v>149</v>
      </c>
    </row>
    <row r="37" spans="2:17">
      <c r="B37" s="51"/>
      <c r="C37" s="32" t="s">
        <v>150</v>
      </c>
      <c r="D37" s="52" t="s">
        <v>151</v>
      </c>
      <c r="E37" s="53">
        <f>ROUND(D3/30+2,2)</f>
        <v>8.67</v>
      </c>
      <c r="F37" s="53">
        <v>145.83000000000001</v>
      </c>
      <c r="G37" s="54">
        <f>F37*E37</f>
        <v>1264.3461000000002</v>
      </c>
      <c r="H37" s="74"/>
      <c r="K37" s="75">
        <f>5%/12</f>
        <v>4.1666666666666666E-3</v>
      </c>
      <c r="L37" s="75"/>
      <c r="M37" s="63">
        <v>350000</v>
      </c>
      <c r="N37" s="76">
        <v>0.1</v>
      </c>
      <c r="O37" s="77">
        <f>+M37*N37</f>
        <v>35000</v>
      </c>
      <c r="P37" s="77">
        <f>+O37*K37</f>
        <v>145.83333333333334</v>
      </c>
      <c r="Q37" s="72"/>
    </row>
    <row r="38" spans="2:17">
      <c r="B38" s="51"/>
      <c r="C38" s="32" t="s">
        <v>152</v>
      </c>
      <c r="D38" s="52" t="s">
        <v>151</v>
      </c>
      <c r="E38" s="53">
        <f>ROUND(D3/30,2)</f>
        <v>6.67</v>
      </c>
      <c r="F38" s="53">
        <v>540</v>
      </c>
      <c r="G38" s="54">
        <f>F38*E38</f>
        <v>3601.8</v>
      </c>
      <c r="H38" s="74"/>
      <c r="K38" s="78"/>
      <c r="L38" s="78"/>
      <c r="M38" s="79"/>
      <c r="N38" s="80"/>
      <c r="O38" s="81"/>
      <c r="P38" s="81"/>
      <c r="Q38" s="72"/>
    </row>
    <row r="39" spans="2:17">
      <c r="B39" s="51"/>
      <c r="C39" s="32" t="s">
        <v>153</v>
      </c>
      <c r="D39" s="52" t="s">
        <v>151</v>
      </c>
      <c r="E39" s="53">
        <f>ROUND(D3/30,2)</f>
        <v>6.67</v>
      </c>
      <c r="F39" s="53">
        <v>225</v>
      </c>
      <c r="G39" s="54">
        <f>F39*E39</f>
        <v>1500.75</v>
      </c>
      <c r="K39" s="64" t="s">
        <v>154</v>
      </c>
      <c r="O39" s="72"/>
      <c r="Q39" s="72"/>
    </row>
    <row r="40" spans="2:17" ht="13.5" thickBot="1">
      <c r="B40" s="82"/>
      <c r="C40" s="83" t="s">
        <v>155</v>
      </c>
      <c r="D40" s="84"/>
      <c r="E40" s="84"/>
      <c r="F40" s="85"/>
      <c r="G40" s="86">
        <f>G36</f>
        <v>6366.8960999999999</v>
      </c>
      <c r="H40" s="87"/>
    </row>
    <row r="41" spans="2:17" ht="16.5" thickBot="1">
      <c r="D41" s="53"/>
      <c r="G41" s="65">
        <f>+G40/D9</f>
        <v>2.9936506018431445E-2</v>
      </c>
      <c r="H41" s="66"/>
    </row>
    <row r="49" spans="3:3">
      <c r="C49" s="90"/>
    </row>
    <row r="50" spans="3:3">
      <c r="C50" s="90"/>
    </row>
  </sheetData>
  <mergeCells count="2">
    <mergeCell ref="B29:F29"/>
    <mergeCell ref="B1:G1"/>
  </mergeCells>
  <pageMargins left="0.7" right="0.7" top="0.75" bottom="0.75" header="0.3" footer="0.3"/>
  <pageSetup paperSize="9" scale="65" orientation="portrait" r:id="rId1"/>
  <colBreaks count="1" manualBreakCount="1">
    <brk id="7" max="67" man="1"/>
  </colBreaks>
  <ignoredErrors>
    <ignoredError sqref="A41:XFD43 A40:F40 H40:XFD40"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5db559ce-8b8c-4c95-a931-c9c48030016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B0A19E2C54E94489C9184033801BF0F" ma:contentTypeVersion="15" ma:contentTypeDescription="Crear nuevo documento." ma:contentTypeScope="" ma:versionID="3a86c90e812b537f62262e52b2543fe4">
  <xsd:schema xmlns:xsd="http://www.w3.org/2001/XMLSchema" xmlns:xs="http://www.w3.org/2001/XMLSchema" xmlns:p="http://schemas.microsoft.com/office/2006/metadata/properties" xmlns:ns3="9a8fc957-f974-45ec-9c21-08368733dd4c" xmlns:ns4="5db559ce-8b8c-4c95-a931-c9c48030016c" targetNamespace="http://schemas.microsoft.com/office/2006/metadata/properties" ma:root="true" ma:fieldsID="ca374409399e8d6991c8c61677d0baa6" ns3:_="" ns4:_="">
    <xsd:import namespace="9a8fc957-f974-45ec-9c21-08368733dd4c"/>
    <xsd:import namespace="5db559ce-8b8c-4c95-a931-c9c48030016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Location"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8fc957-f974-45ec-9c21-08368733dd4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b559ce-8b8c-4c95-a931-c9c48030016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1BFC6C-2D26-4E8F-A8C4-04F3B64B919B}"/>
</file>

<file path=customXml/itemProps2.xml><?xml version="1.0" encoding="utf-8"?>
<ds:datastoreItem xmlns:ds="http://schemas.openxmlformats.org/officeDocument/2006/customXml" ds:itemID="{BC1E397A-46B2-47BA-B6C8-8AE95516CA7F}"/>
</file>

<file path=customXml/itemProps3.xml><?xml version="1.0" encoding="utf-8"?>
<ds:datastoreItem xmlns:ds="http://schemas.openxmlformats.org/officeDocument/2006/customXml" ds:itemID="{BB8CAADA-301C-420D-A4A0-EE6DFDA0D6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Remuzgo Bueno, Fernando</dc:creator>
  <cp:keywords/>
  <dc:description/>
  <cp:lastModifiedBy>De la Cruz Brañez, Jhans (ELCTO)</cp:lastModifiedBy>
  <cp:revision/>
  <dcterms:created xsi:type="dcterms:W3CDTF">2018-08-15T21:47:45Z</dcterms:created>
  <dcterms:modified xsi:type="dcterms:W3CDTF">2023-09-05T16:38:14Z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0x0101003B0A19E2C54E94489C9184033801BF0F</vt:lpwstr>
  </property>
</Properties>
</file>